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omments4.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DieseArbeitsmappe" defaultThemeVersion="166925"/>
  <mc:AlternateContent xmlns:mc="http://schemas.openxmlformats.org/markup-compatibility/2006">
    <mc:Choice Requires="x15">
      <x15ac:absPath xmlns:x15ac="http://schemas.microsoft.com/office/spreadsheetml/2010/11/ac" url="C:\NCloud\MIKKI\"/>
    </mc:Choice>
  </mc:AlternateContent>
  <xr:revisionPtr revIDLastSave="0" documentId="8_{318004A1-DA65-4D8B-9A6C-492795F9AB8E}" xr6:coauthVersionLast="45" xr6:coauthVersionMax="45" xr10:uidLastSave="{00000000-0000-0000-0000-000000000000}"/>
  <bookViews>
    <workbookView xWindow="-120" yWindow="-120" windowWidth="29040" windowHeight="15840" activeTab="2" xr2:uid="{475565D6-5DA3-4D1D-813D-59E0083F84F1}"/>
  </bookViews>
  <sheets>
    <sheet name="1. Determine Age" sheetId="11" r:id="rId1"/>
    <sheet name="2. Present Risk Factors" sheetId="12" r:id="rId2"/>
    <sheet name="3. Read Results" sheetId="13" r:id="rId3"/>
    <sheet name="4. Inform Patient" sheetId="10" r:id="rId4"/>
    <sheet name="5. Check Bleeding Risk" sheetId="14" r:id="rId5"/>
    <sheet name="Calculator (for experts)" sheetId="2" r:id="rId6"/>
    <sheet name="Rechner" sheetId="1" state="hidden" r:id="rId7"/>
    <sheet name="Rechner Ideal" sheetId="7" state="hidden" r:id="rId8"/>
    <sheet name="FRAM1030" sheetId="3" state="hidden" r:id="rId9"/>
    <sheet name="HTA" sheetId="4" state="hidden" r:id="rId10"/>
    <sheet name="pepqaly" sheetId="5" state="hidden" r:id="rId11"/>
  </sheets>
  <definedNames>
    <definedName name="__sm_MV_0_9c5_7a29">{0;207}</definedName>
    <definedName name="__sm_MV_0_9c5_8a29">{-4.5;4.5}</definedName>
    <definedName name="__sm_MV_0_9c9_7a2c">{14.5266439909297;42.828449905482}</definedName>
    <definedName name="__sm_MV_0_9c9_7a34">{14.5266439909297;42.828449905482}</definedName>
    <definedName name="__sm_MV_0_9c9_7a35">{14.5266439909297;42.828449905482}</definedName>
    <definedName name="__sm_MV_0_9c9_8a2c">{3.17238933440453;4.05682219453361}</definedName>
    <definedName name="__sm_MV_0_9c9_8a34">{1.55814796143857;5.56950882997879}</definedName>
    <definedName name="__sm_MV_0_9c9_8a35">{3.38626296681789;3.73081443138169}</definedName>
    <definedName name="__sm_MV_0_9ca_7a37">{-1E+30;1E+30}</definedName>
    <definedName name="__sm_MV_0_9ca_8a37">{0;0}</definedName>
    <definedName name="_xlnm._FilterDatabase" localSheetId="3" hidden="1">'4. Inform Patient'!#REF!</definedName>
    <definedName name="_xlnm._FilterDatabase" localSheetId="5" hidden="1">'Calculator (for experts)'!$G$15:$I$21</definedName>
    <definedName name="_xlnm.Print_Area" localSheetId="3">'4. Inform Patient'!$A$1:$K$28</definedName>
    <definedName name="_xlnm.Print_Area" localSheetId="5">'Calculator (for experts)'!$D$2:$E$69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0" l="1"/>
  <c r="B13" i="10"/>
  <c r="M30" i="2"/>
  <c r="F8" i="10" l="1"/>
  <c r="E29" i="2"/>
  <c r="E30" i="2"/>
  <c r="E31" i="2"/>
  <c r="E32" i="2"/>
  <c r="E33" i="2"/>
  <c r="E34" i="2"/>
  <c r="E35" i="2"/>
  <c r="E36" i="2"/>
  <c r="E37" i="2"/>
  <c r="E28" i="2"/>
  <c r="D6" i="14"/>
  <c r="D7" i="14"/>
  <c r="D8" i="14"/>
  <c r="D9" i="14"/>
  <c r="D10" i="14"/>
  <c r="D11" i="14"/>
  <c r="D12" i="14"/>
  <c r="D13" i="14"/>
  <c r="D14" i="14"/>
  <c r="D15" i="14"/>
  <c r="D5" i="14"/>
  <c r="D6" i="2"/>
  <c r="H2" i="10" s="1"/>
  <c r="E27" i="2" l="1"/>
  <c r="F13" i="13"/>
  <c r="F14" i="13"/>
  <c r="F15" i="13"/>
  <c r="E36" i="11"/>
  <c r="J8" i="11" s="1"/>
  <c r="E21" i="2"/>
  <c r="E22" i="2"/>
  <c r="E23" i="2"/>
  <c r="E24" i="2"/>
  <c r="E25" i="2"/>
  <c r="E20" i="2"/>
  <c r="E12" i="2"/>
  <c r="E13" i="2"/>
  <c r="E14" i="2"/>
  <c r="E15" i="2"/>
  <c r="E16" i="2"/>
  <c r="E17" i="2"/>
  <c r="E11" i="2"/>
  <c r="E9" i="2"/>
  <c r="E19" i="2" l="1"/>
  <c r="E18" i="2"/>
  <c r="E10" i="2"/>
  <c r="J11" i="11"/>
  <c r="N9" i="10" l="1"/>
  <c r="N10" i="10" l="1"/>
  <c r="L6" i="7"/>
  <c r="N8" i="10"/>
  <c r="N7" i="10"/>
  <c r="O7" i="10" s="1"/>
  <c r="O8" i="10" l="1"/>
  <c r="O9" i="10" l="1"/>
  <c r="O10" i="10" s="1"/>
  <c r="N2" i="10" l="1"/>
  <c r="I2" i="10"/>
  <c r="K2" i="10" l="1"/>
  <c r="M2" i="10" s="1"/>
  <c r="R5" i="2"/>
  <c r="H10" i="2" l="1"/>
  <c r="F5" i="13" s="1"/>
  <c r="E45" i="2"/>
  <c r="G22" i="1" l="1"/>
  <c r="G14" i="2" l="1"/>
  <c r="F14" i="7" l="1"/>
  <c r="A98" i="2" l="1"/>
  <c r="A99" i="2"/>
  <c r="A100" i="2"/>
  <c r="M33" i="2" l="1"/>
  <c r="G35" i="2"/>
  <c r="D48" i="2" l="1"/>
  <c r="G12" i="2" s="1"/>
  <c r="D45" i="2"/>
  <c r="G13" i="2" l="1"/>
  <c r="E7" i="2" l="1"/>
  <c r="B11" i="10" s="1"/>
  <c r="D44" i="2" l="1"/>
  <c r="D54" i="2" l="1"/>
  <c r="G21" i="2" s="1"/>
  <c r="D14" i="13" s="1"/>
  <c r="G33" i="2"/>
  <c r="G10" i="2"/>
  <c r="G11" i="2"/>
  <c r="G28" i="2"/>
  <c r="G29" i="2"/>
  <c r="G30" i="2"/>
  <c r="G31" i="2"/>
  <c r="G32" i="2"/>
  <c r="G9" i="2"/>
  <c r="E136" i="7"/>
  <c r="E138" i="7" s="1"/>
  <c r="E141" i="7" s="1"/>
  <c r="C142" i="7" s="1"/>
  <c r="C135" i="7"/>
  <c r="C137" i="7" s="1"/>
  <c r="C140" i="7" s="1"/>
  <c r="D89" i="7"/>
  <c r="D92" i="7" s="1"/>
  <c r="C89" i="7"/>
  <c r="R81" i="7"/>
  <c r="P81" i="7"/>
  <c r="P82" i="7" s="1"/>
  <c r="P88" i="7" s="1"/>
  <c r="O81" i="7"/>
  <c r="R80" i="7"/>
  <c r="Q80" i="7"/>
  <c r="Q82" i="7" s="1"/>
  <c r="Q88" i="7" s="1"/>
  <c r="O80" i="7"/>
  <c r="R78" i="7"/>
  <c r="R91" i="7" s="1"/>
  <c r="Q78" i="7"/>
  <c r="Q91" i="7" s="1"/>
  <c r="P78" i="7"/>
  <c r="P91" i="7" s="1"/>
  <c r="O78" i="7"/>
  <c r="O91" i="7" s="1"/>
  <c r="O75" i="7"/>
  <c r="R51" i="7"/>
  <c r="Q51" i="7"/>
  <c r="P51" i="7"/>
  <c r="O51" i="7"/>
  <c r="P49" i="7"/>
  <c r="P50" i="7" s="1"/>
  <c r="J33" i="7"/>
  <c r="G31" i="7"/>
  <c r="C30" i="7"/>
  <c r="O27" i="7"/>
  <c r="G26" i="7"/>
  <c r="C19" i="7"/>
  <c r="K17" i="7"/>
  <c r="R16" i="7"/>
  <c r="Q16" i="7"/>
  <c r="O16" i="7"/>
  <c r="G14" i="7"/>
  <c r="C14" i="7"/>
  <c r="K12" i="7" s="1"/>
  <c r="L12" i="7" s="1"/>
  <c r="K13" i="7"/>
  <c r="L13" i="7" s="1"/>
  <c r="C13" i="7"/>
  <c r="K14" i="7" s="1"/>
  <c r="L14" i="7" s="1"/>
  <c r="C12" i="7"/>
  <c r="K11" i="7" s="1"/>
  <c r="L11" i="7" s="1"/>
  <c r="C11" i="7"/>
  <c r="K6" i="7" s="1"/>
  <c r="C10" i="7"/>
  <c r="K10" i="7" s="1"/>
  <c r="L10" i="7" s="1"/>
  <c r="K8" i="7"/>
  <c r="F8" i="7"/>
  <c r="C56" i="7"/>
  <c r="B57" i="7" s="1"/>
  <c r="D56" i="7" s="1"/>
  <c r="K7" i="7"/>
  <c r="F7" i="7"/>
  <c r="Y6" i="7"/>
  <c r="X6" i="7"/>
  <c r="W6" i="7"/>
  <c r="Y5" i="7"/>
  <c r="X5" i="7"/>
  <c r="W5" i="7"/>
  <c r="C5" i="7"/>
  <c r="G27" i="7" s="1"/>
  <c r="Y4" i="7"/>
  <c r="X4" i="7"/>
  <c r="W4" i="7"/>
  <c r="C4" i="7"/>
  <c r="D3" i="7"/>
  <c r="C3" i="7"/>
  <c r="F6" i="7" s="1"/>
  <c r="L5" i="7" s="1"/>
  <c r="O82" i="7" l="1"/>
  <c r="O88" i="7" s="1"/>
  <c r="G7" i="7"/>
  <c r="L7" i="7"/>
  <c r="G8" i="7"/>
  <c r="L8" i="7"/>
  <c r="K16" i="7"/>
  <c r="F13" i="7"/>
  <c r="G13" i="7" s="1"/>
  <c r="R82" i="7"/>
  <c r="R88" i="7" s="1"/>
  <c r="G10" i="7"/>
  <c r="G33" i="7"/>
  <c r="O17" i="7"/>
  <c r="O21" i="7" s="1"/>
  <c r="K5" i="7"/>
  <c r="G11" i="7"/>
  <c r="O28" i="7"/>
  <c r="O29" i="7" s="1"/>
  <c r="P52" i="7"/>
  <c r="F5" i="7"/>
  <c r="G22" i="7"/>
  <c r="R17" i="7"/>
  <c r="R18" i="7" s="1"/>
  <c r="K19" i="7"/>
  <c r="C57" i="7"/>
  <c r="P53" i="7"/>
  <c r="C143" i="7"/>
  <c r="G34" i="7"/>
  <c r="G35" i="7" s="1"/>
  <c r="L25" i="7"/>
  <c r="G32" i="7" s="1"/>
  <c r="K18" i="7" s="1"/>
  <c r="C58" i="7" s="1"/>
  <c r="K4" i="7"/>
  <c r="G6" i="7"/>
  <c r="C141" i="7"/>
  <c r="Q17" i="7"/>
  <c r="Q18" i="7" s="1"/>
  <c r="C24" i="7"/>
  <c r="AJ46" i="2"/>
  <c r="F17" i="7" l="1"/>
  <c r="L4" i="7"/>
  <c r="L20" i="7" s="1"/>
  <c r="C59" i="7"/>
  <c r="O18" i="7"/>
  <c r="O24" i="7"/>
  <c r="Q21" i="7"/>
  <c r="R24" i="7"/>
  <c r="G5" i="7"/>
  <c r="K20" i="7"/>
  <c r="Q24" i="7"/>
  <c r="R21" i="7"/>
  <c r="O6" i="7"/>
  <c r="G19" i="7"/>
  <c r="O8" i="7"/>
  <c r="O5" i="7"/>
  <c r="G15" i="7"/>
  <c r="O63" i="7"/>
  <c r="Q75" i="7" s="1"/>
  <c r="O66" i="7"/>
  <c r="O64" i="7"/>
  <c r="P75" i="7" s="1"/>
  <c r="G36" i="7"/>
  <c r="O32" i="7"/>
  <c r="D63" i="2"/>
  <c r="G25" i="2" s="1"/>
  <c r="D62" i="2"/>
  <c r="G24" i="2" s="1"/>
  <c r="E48" i="2" l="1"/>
  <c r="H12" i="2" s="1"/>
  <c r="F7" i="13" s="1"/>
  <c r="E20" i="10"/>
  <c r="K25" i="7"/>
  <c r="K26" i="7"/>
  <c r="G17" i="7"/>
  <c r="R75" i="7"/>
  <c r="O62" i="7"/>
  <c r="O26" i="7"/>
  <c r="R22" i="2"/>
  <c r="G24" i="7" l="1"/>
  <c r="C26" i="7" s="1"/>
  <c r="C27" i="7" s="1"/>
  <c r="O5" i="2"/>
  <c r="M23" i="2" s="1"/>
  <c r="O33" i="7"/>
  <c r="O30" i="7"/>
  <c r="O34" i="7" s="1"/>
  <c r="P73" i="7"/>
  <c r="P74" i="7" s="1"/>
  <c r="P76" i="7" s="1"/>
  <c r="P77" i="7" s="1"/>
  <c r="P63" i="7"/>
  <c r="O73" i="7"/>
  <c r="O74" i="7" s="1"/>
  <c r="O76" i="7" s="1"/>
  <c r="O77" i="7" s="1"/>
  <c r="R73" i="7"/>
  <c r="R74" i="7" s="1"/>
  <c r="R76" i="7" s="1"/>
  <c r="R77" i="7" s="1"/>
  <c r="Q73" i="7"/>
  <c r="Q74" i="7" s="1"/>
  <c r="Q76" i="7" s="1"/>
  <c r="Q77" i="7" s="1"/>
  <c r="I31" i="4"/>
  <c r="I32" i="4"/>
  <c r="J33" i="4" s="1"/>
  <c r="I33" i="4" s="1"/>
  <c r="I30" i="4"/>
  <c r="F30" i="4" s="1"/>
  <c r="E12" i="4"/>
  <c r="F32" i="4" s="1"/>
  <c r="C26" i="1" l="1"/>
  <c r="O4" i="7"/>
  <c r="O15" i="7" s="1"/>
  <c r="O19" i="7" s="1"/>
  <c r="O49" i="7" s="1"/>
  <c r="O50" i="7" s="1"/>
  <c r="C31" i="7"/>
  <c r="C32" i="7" s="1"/>
  <c r="C28" i="7"/>
  <c r="O31" i="7"/>
  <c r="R85" i="7"/>
  <c r="R89" i="7"/>
  <c r="R90" i="7" s="1"/>
  <c r="O89" i="7"/>
  <c r="O90" i="7" s="1"/>
  <c r="O85" i="7"/>
  <c r="Q85" i="7"/>
  <c r="Q89" i="7"/>
  <c r="Q90" i="7" s="1"/>
  <c r="P89" i="7"/>
  <c r="P90" i="7" s="1"/>
  <c r="P85" i="7"/>
  <c r="E30" i="4"/>
  <c r="H30" i="4"/>
  <c r="G30" i="4"/>
  <c r="D30" i="4"/>
  <c r="G34" i="4"/>
  <c r="D32" i="4"/>
  <c r="F34" i="4"/>
  <c r="H32" i="4"/>
  <c r="E34" i="4"/>
  <c r="G32" i="4"/>
  <c r="E32" i="4"/>
  <c r="D34" i="4"/>
  <c r="H34" i="4"/>
  <c r="G6" i="4"/>
  <c r="H18" i="4"/>
  <c r="H33" i="4" s="1"/>
  <c r="G18" i="4"/>
  <c r="G33" i="4" s="1"/>
  <c r="Q23" i="7" l="1"/>
  <c r="R15" i="7"/>
  <c r="R19" i="7" s="1"/>
  <c r="R20" i="7" s="1"/>
  <c r="R23" i="7"/>
  <c r="O23" i="7"/>
  <c r="P5" i="7"/>
  <c r="Q15" i="7"/>
  <c r="Q19" i="7" s="1"/>
  <c r="Q20" i="7" s="1"/>
  <c r="O22" i="7"/>
  <c r="O20" i="7"/>
  <c r="P94" i="7"/>
  <c r="P93" i="7"/>
  <c r="P86" i="7" s="1"/>
  <c r="P92" i="7"/>
  <c r="K22" i="7" s="1"/>
  <c r="Q94" i="7"/>
  <c r="Q93" i="7"/>
  <c r="Q86" i="7" s="1"/>
  <c r="Q92" i="7"/>
  <c r="K23" i="7" s="1"/>
  <c r="R94" i="7"/>
  <c r="R93" i="7"/>
  <c r="R86" i="7" s="1"/>
  <c r="R92" i="7"/>
  <c r="K24" i="7" s="1"/>
  <c r="O94" i="7"/>
  <c r="O93" i="7"/>
  <c r="O86" i="7" s="1"/>
  <c r="O92" i="7"/>
  <c r="K21" i="7" s="1"/>
  <c r="O53" i="7"/>
  <c r="O52" i="7"/>
  <c r="L90" i="4"/>
  <c r="Q22" i="7" l="1"/>
  <c r="G20" i="7"/>
  <c r="R49" i="7"/>
  <c r="R50" i="7" s="1"/>
  <c r="R53" i="7" s="1"/>
  <c r="Q49" i="7"/>
  <c r="Q50" i="7" s="1"/>
  <c r="Q53" i="7" s="1"/>
  <c r="R22" i="7"/>
  <c r="N118" i="4"/>
  <c r="L89" i="4"/>
  <c r="L92" i="4" s="1"/>
  <c r="L98" i="4" s="1"/>
  <c r="L107" i="4"/>
  <c r="L109" i="4" s="1"/>
  <c r="L111" i="4" s="1"/>
  <c r="L101" i="4"/>
  <c r="L102" i="4" s="1"/>
  <c r="L104" i="4" s="1"/>
  <c r="W3" i="4"/>
  <c r="R52" i="7" l="1"/>
  <c r="R54" i="7"/>
  <c r="Q52" i="7"/>
  <c r="O54" i="7"/>
  <c r="P54" i="7"/>
  <c r="Q54" i="7"/>
  <c r="L112" i="4"/>
  <c r="L105" i="4"/>
  <c r="L113" i="4" l="1"/>
  <c r="L116" i="4" s="1"/>
  <c r="L117" i="4" s="1"/>
  <c r="L115" i="4"/>
  <c r="L106" i="4"/>
  <c r="L96" i="4" l="1"/>
  <c r="L97" i="4" s="1"/>
  <c r="L99" i="4" s="1"/>
  <c r="L95" i="4"/>
  <c r="L114" i="4"/>
  <c r="L100" i="4" l="1"/>
  <c r="J95" i="4" l="1"/>
  <c r="J97" i="4" s="1"/>
  <c r="J92" i="4"/>
  <c r="J85" i="4"/>
  <c r="J100" i="4" s="1"/>
  <c r="J103" i="4" l="1"/>
  <c r="J93" i="4"/>
  <c r="J86" i="4"/>
  <c r="J101" i="4" s="1"/>
  <c r="J104" i="4" s="1"/>
  <c r="J98" i="4"/>
  <c r="J99" i="4" s="1"/>
  <c r="J110" i="4" l="1"/>
  <c r="J107" i="4"/>
  <c r="J106" i="4"/>
  <c r="J105" i="4"/>
  <c r="J109" i="4"/>
  <c r="J102" i="4"/>
  <c r="J111" i="4" l="1"/>
  <c r="J112" i="4" s="1"/>
  <c r="J113" i="4" s="1"/>
  <c r="J108" i="4"/>
  <c r="J114" i="4" l="1"/>
  <c r="O27" i="1" l="1"/>
  <c r="O28" i="1" s="1"/>
  <c r="O29" i="1" s="1"/>
  <c r="O32" i="1" l="1"/>
  <c r="T6" i="2" l="1"/>
  <c r="T5" i="2"/>
  <c r="D14" i="4" l="1"/>
  <c r="X8" i="4" l="1"/>
  <c r="X9" i="4" s="1"/>
  <c r="V15" i="4"/>
  <c r="V16" i="4" s="1"/>
  <c r="X16" i="4"/>
  <c r="H16" i="4" s="1"/>
  <c r="L5" i="2" l="1"/>
  <c r="M6" i="2"/>
  <c r="G97" i="5" l="1"/>
  <c r="G98" i="5" s="1"/>
  <c r="G99" i="5" s="1"/>
  <c r="G100" i="5" s="1"/>
  <c r="G94" i="5"/>
  <c r="G80" i="5"/>
  <c r="H79" i="5" s="1"/>
  <c r="H71" i="5"/>
  <c r="G71" i="5"/>
  <c r="G91" i="5" s="1"/>
  <c r="H67" i="5"/>
  <c r="G67" i="5"/>
  <c r="J30" i="5"/>
  <c r="I30" i="5"/>
  <c r="G30" i="5"/>
  <c r="C21" i="5"/>
  <c r="M17" i="5"/>
  <c r="G101" i="5" l="1"/>
  <c r="G102" i="5" s="1"/>
  <c r="G103" i="5" s="1"/>
  <c r="F31" i="5" s="1"/>
  <c r="F34" i="5" s="1"/>
  <c r="G82" i="5"/>
  <c r="H88" i="5"/>
  <c r="G88" i="5"/>
  <c r="H82" i="5"/>
  <c r="I31" i="5" l="1"/>
  <c r="I34" i="5" s="1"/>
  <c r="J16" i="5"/>
  <c r="J31" i="5"/>
  <c r="J34" i="5" s="1"/>
  <c r="J35" i="5" s="1"/>
  <c r="F16" i="5"/>
  <c r="M10" i="5" s="1"/>
  <c r="M14" i="5" s="1"/>
  <c r="M18" i="5" s="1"/>
  <c r="G31" i="5"/>
  <c r="G34" i="5" s="1"/>
  <c r="G35" i="5" s="1"/>
  <c r="I16" i="5"/>
  <c r="G16" i="5"/>
  <c r="G83" i="5"/>
  <c r="I83" i="5" s="1"/>
  <c r="F11" i="5" s="1"/>
  <c r="I17" i="4" s="1"/>
  <c r="F35" i="5"/>
  <c r="G84" i="5"/>
  <c r="I35" i="5"/>
  <c r="M19" i="5" l="1"/>
  <c r="J14" i="5"/>
  <c r="J15" i="5" s="1"/>
  <c r="I14" i="5"/>
  <c r="I15" i="5" s="1"/>
  <c r="G85" i="5"/>
  <c r="G14" i="5"/>
  <c r="G15" i="5" s="1"/>
  <c r="F14" i="5"/>
  <c r="F15" i="5" s="1"/>
  <c r="G20" i="5" l="1"/>
  <c r="G21" i="5" s="1"/>
  <c r="G12" i="5" s="1"/>
  <c r="G17" i="5" s="1"/>
  <c r="F20" i="5"/>
  <c r="F21" i="5" s="1"/>
  <c r="I20" i="5"/>
  <c r="I21" i="5" s="1"/>
  <c r="I12" i="5" s="1"/>
  <c r="I17" i="5" s="1"/>
  <c r="J20" i="5"/>
  <c r="J21" i="5" s="1"/>
  <c r="J12" i="5" s="1"/>
  <c r="J17" i="5" s="1"/>
  <c r="F12" i="5" l="1"/>
  <c r="F17" i="5" s="1"/>
  <c r="I18" i="4"/>
  <c r="I19" i="5"/>
  <c r="I18" i="5"/>
  <c r="G18" i="5"/>
  <c r="G19" i="5"/>
  <c r="J19" i="5"/>
  <c r="J18" i="5"/>
  <c r="F18" i="5"/>
  <c r="C15" i="5"/>
  <c r="F19" i="5" l="1"/>
  <c r="I21" i="4" s="1"/>
  <c r="L92" i="2"/>
  <c r="M91" i="2"/>
  <c r="E107" i="2"/>
  <c r="E106" i="2"/>
  <c r="R2" i="2"/>
  <c r="O2" i="2"/>
  <c r="S4" i="2"/>
  <c r="R4" i="2"/>
  <c r="P4" i="2"/>
  <c r="O4" i="2"/>
  <c r="Y6" i="2"/>
  <c r="E44" i="2" l="1"/>
  <c r="E49" i="2" s="1"/>
  <c r="P5" i="2"/>
  <c r="M90" i="2"/>
  <c r="H9" i="2" l="1"/>
  <c r="H13" i="2"/>
  <c r="F8" i="13" s="1"/>
  <c r="B120" i="2"/>
  <c r="B118" i="2"/>
  <c r="G7" i="2" l="1"/>
  <c r="F4" i="13"/>
  <c r="B126" i="2"/>
  <c r="B125" i="2"/>
  <c r="B124" i="2"/>
  <c r="B123" i="2"/>
  <c r="B122" i="2"/>
  <c r="B121" i="2"/>
  <c r="B119" i="2"/>
  <c r="B117" i="2"/>
  <c r="B115" i="2"/>
  <c r="C4" i="1" l="1"/>
  <c r="E130" i="2" l="1"/>
  <c r="Y6" i="1" l="1"/>
  <c r="Y5" i="1"/>
  <c r="X6" i="1"/>
  <c r="X5" i="1"/>
  <c r="X4" i="1"/>
  <c r="Y4" i="1"/>
  <c r="W6" i="1"/>
  <c r="W5" i="1"/>
  <c r="W4" i="1"/>
  <c r="H157" i="3" l="1"/>
  <c r="H158" i="3" s="1"/>
  <c r="C47" i="3"/>
  <c r="C56" i="3" s="1"/>
  <c r="E125" i="2" s="1"/>
  <c r="C32" i="3"/>
  <c r="F39" i="4"/>
  <c r="E39" i="4"/>
  <c r="D39" i="4"/>
  <c r="H35" i="4"/>
  <c r="G35" i="4"/>
  <c r="G36" i="4" s="1"/>
  <c r="F33" i="4"/>
  <c r="F35" i="4" s="1"/>
  <c r="F36" i="4" s="1"/>
  <c r="E33" i="4"/>
  <c r="E35" i="4" s="1"/>
  <c r="D33" i="4"/>
  <c r="D35" i="4" s="1"/>
  <c r="AA31" i="4"/>
  <c r="AA28" i="4" s="1"/>
  <c r="Y28" i="4"/>
  <c r="Y32" i="4" s="1"/>
  <c r="AA25" i="4"/>
  <c r="Y25" i="4"/>
  <c r="Y24" i="4"/>
  <c r="H86" i="4"/>
  <c r="G86" i="4"/>
  <c r="F86" i="4"/>
  <c r="E86" i="4"/>
  <c r="D86" i="4"/>
  <c r="Y23" i="4"/>
  <c r="Y22" i="4"/>
  <c r="H19" i="4"/>
  <c r="G19" i="4"/>
  <c r="F19" i="4"/>
  <c r="E19" i="4"/>
  <c r="H85" i="4"/>
  <c r="H154" i="3"/>
  <c r="L134" i="3" s="1"/>
  <c r="N134" i="3" s="1"/>
  <c r="H153" i="3"/>
  <c r="J153" i="3" s="1"/>
  <c r="A85" i="3"/>
  <c r="B83" i="3"/>
  <c r="B86" i="3" s="1"/>
  <c r="P64" i="3"/>
  <c r="N64" i="3"/>
  <c r="N65" i="3" s="1"/>
  <c r="N71" i="3" s="1"/>
  <c r="M64" i="3"/>
  <c r="P63" i="3"/>
  <c r="O63" i="3"/>
  <c r="O65" i="3" s="1"/>
  <c r="O71" i="3" s="1"/>
  <c r="M63" i="3"/>
  <c r="P61" i="3"/>
  <c r="P74" i="3" s="1"/>
  <c r="O61" i="3"/>
  <c r="O74" i="3" s="1"/>
  <c r="N61" i="3"/>
  <c r="N74" i="3" s="1"/>
  <c r="M61" i="3"/>
  <c r="M74" i="3" s="1"/>
  <c r="M58" i="3"/>
  <c r="M49" i="3"/>
  <c r="M47" i="3"/>
  <c r="N58" i="3" s="1"/>
  <c r="M46" i="3"/>
  <c r="O58" i="3" s="1"/>
  <c r="H40" i="3"/>
  <c r="H49" i="3" s="1"/>
  <c r="I34" i="3"/>
  <c r="P24" i="3"/>
  <c r="N24" i="3"/>
  <c r="N25" i="3" s="1"/>
  <c r="N31" i="3" s="1"/>
  <c r="M24" i="3"/>
  <c r="P23" i="3"/>
  <c r="O23" i="3"/>
  <c r="O25" i="3" s="1"/>
  <c r="O31" i="3" s="1"/>
  <c r="M23" i="3"/>
  <c r="I22" i="3"/>
  <c r="J22" i="3" s="1"/>
  <c r="P21" i="3"/>
  <c r="P34" i="3" s="1"/>
  <c r="O21" i="3"/>
  <c r="O34" i="3" s="1"/>
  <c r="N21" i="3"/>
  <c r="N34" i="3" s="1"/>
  <c r="M21" i="3"/>
  <c r="M34" i="3" s="1"/>
  <c r="E19" i="3"/>
  <c r="M18" i="3"/>
  <c r="D17" i="3"/>
  <c r="E17" i="3" s="1"/>
  <c r="E15" i="3"/>
  <c r="E14" i="3"/>
  <c r="E13" i="3"/>
  <c r="E11" i="3"/>
  <c r="E10" i="3"/>
  <c r="M9" i="3"/>
  <c r="E8" i="3"/>
  <c r="M7" i="3"/>
  <c r="N18" i="3" s="1"/>
  <c r="E7" i="3"/>
  <c r="M6" i="3"/>
  <c r="O18" i="3" s="1"/>
  <c r="E6" i="3"/>
  <c r="E5" i="3"/>
  <c r="P18" i="3" l="1"/>
  <c r="P58" i="3"/>
  <c r="Y30" i="4"/>
  <c r="I19" i="4"/>
  <c r="P25" i="3"/>
  <c r="P31" i="3" s="1"/>
  <c r="P65" i="3"/>
  <c r="P71" i="3" s="1"/>
  <c r="D37" i="4"/>
  <c r="C53" i="3"/>
  <c r="E122" i="2" s="1"/>
  <c r="H42" i="3"/>
  <c r="C50" i="3"/>
  <c r="E119" i="2" s="1"/>
  <c r="M65" i="3"/>
  <c r="M71" i="3" s="1"/>
  <c r="E24" i="3"/>
  <c r="M5" i="3" s="1"/>
  <c r="N6" i="3" s="1"/>
  <c r="H44" i="3"/>
  <c r="H45" i="3"/>
  <c r="C54" i="3"/>
  <c r="E123" i="2" s="1"/>
  <c r="M25" i="3"/>
  <c r="M31" i="3" s="1"/>
  <c r="H48" i="3"/>
  <c r="H159" i="3"/>
  <c r="I159" i="3" s="1"/>
  <c r="J159" i="3" s="1"/>
  <c r="C33" i="3" s="1"/>
  <c r="J154" i="3"/>
  <c r="I158" i="3" s="1"/>
  <c r="J158" i="3" s="1"/>
  <c r="C31" i="3" s="1"/>
  <c r="H36" i="4"/>
  <c r="D36" i="4"/>
  <c r="H87" i="4"/>
  <c r="H88" i="4" s="1"/>
  <c r="E36" i="4"/>
  <c r="E37" i="4"/>
  <c r="E38" i="4" s="1"/>
  <c r="E40" i="4" s="1"/>
  <c r="F37" i="4"/>
  <c r="F38" i="4" s="1"/>
  <c r="F40" i="4" s="1"/>
  <c r="D85" i="4"/>
  <c r="G37" i="4"/>
  <c r="E85" i="4"/>
  <c r="H37" i="4"/>
  <c r="H38" i="4" s="1"/>
  <c r="H40" i="4" s="1"/>
  <c r="G85" i="4"/>
  <c r="F85" i="4"/>
  <c r="L133" i="3"/>
  <c r="N133" i="3" s="1"/>
  <c r="C51" i="3"/>
  <c r="E120" i="2" s="1"/>
  <c r="I157" i="3"/>
  <c r="H43" i="3"/>
  <c r="H47" i="3"/>
  <c r="C52" i="3"/>
  <c r="E121" i="2" s="1"/>
  <c r="M45" i="3"/>
  <c r="C49" i="3"/>
  <c r="E118" i="2" s="1"/>
  <c r="C55" i="3"/>
  <c r="E124" i="2" s="1"/>
  <c r="H46" i="3"/>
  <c r="R16" i="1"/>
  <c r="Q16" i="1"/>
  <c r="O16" i="1"/>
  <c r="G5" i="1"/>
  <c r="C5" i="1"/>
  <c r="C6" i="1"/>
  <c r="C8" i="1"/>
  <c r="C56" i="1" s="1"/>
  <c r="C9" i="1"/>
  <c r="K8" i="1" s="1"/>
  <c r="C10" i="1"/>
  <c r="K10" i="1" s="1"/>
  <c r="C11" i="1"/>
  <c r="F11" i="1" s="1"/>
  <c r="G11" i="1" s="1"/>
  <c r="C12" i="1"/>
  <c r="K11" i="1" s="1"/>
  <c r="C13" i="1"/>
  <c r="K14" i="1" s="1"/>
  <c r="C14" i="1"/>
  <c r="K12" i="1" s="1"/>
  <c r="C15" i="1"/>
  <c r="K13" i="1" s="1"/>
  <c r="C16" i="1"/>
  <c r="F14" i="1" s="1"/>
  <c r="C17" i="1"/>
  <c r="F13" i="1" s="1"/>
  <c r="G13" i="1" s="1"/>
  <c r="C18" i="1"/>
  <c r="C57" i="1" s="1"/>
  <c r="C19" i="1"/>
  <c r="C3" i="1"/>
  <c r="F6" i="1" s="1"/>
  <c r="E136" i="1"/>
  <c r="E138" i="1" s="1"/>
  <c r="E141" i="1" s="1"/>
  <c r="C142" i="1" s="1"/>
  <c r="C135" i="1"/>
  <c r="C137" i="1" s="1"/>
  <c r="C140" i="1" s="1"/>
  <c r="D89" i="1"/>
  <c r="D92" i="1" s="1"/>
  <c r="C89" i="1"/>
  <c r="R81" i="1"/>
  <c r="P81" i="1"/>
  <c r="P82" i="1" s="1"/>
  <c r="P88" i="1" s="1"/>
  <c r="O81" i="1"/>
  <c r="R80" i="1"/>
  <c r="Q80" i="1"/>
  <c r="Q82" i="1" s="1"/>
  <c r="Q88" i="1" s="1"/>
  <c r="O80" i="1"/>
  <c r="O82" i="1" s="1"/>
  <c r="O88" i="1" s="1"/>
  <c r="R78" i="1"/>
  <c r="R91" i="1" s="1"/>
  <c r="Q78" i="1"/>
  <c r="Q91" i="1" s="1"/>
  <c r="P78" i="1"/>
  <c r="P91" i="1" s="1"/>
  <c r="O78" i="1"/>
  <c r="O91" i="1" s="1"/>
  <c r="O75" i="1"/>
  <c r="J33" i="1"/>
  <c r="G31" i="1"/>
  <c r="C30" i="1"/>
  <c r="G26" i="1"/>
  <c r="Q51" i="1"/>
  <c r="P51" i="1"/>
  <c r="O51" i="1"/>
  <c r="D3" i="1"/>
  <c r="D38" i="4" l="1"/>
  <c r="D40" i="4" s="1"/>
  <c r="O17" i="1"/>
  <c r="O18" i="1" s="1"/>
  <c r="Q17" i="1"/>
  <c r="Q18" i="1" s="1"/>
  <c r="R17" i="1"/>
  <c r="R21" i="1" s="1"/>
  <c r="G38" i="4"/>
  <c r="G40" i="4" s="1"/>
  <c r="M16" i="3"/>
  <c r="M17" i="3" s="1"/>
  <c r="M19" i="3" s="1"/>
  <c r="M20" i="3" s="1"/>
  <c r="M32" i="3" s="1"/>
  <c r="M33" i="3" s="1"/>
  <c r="N16" i="3"/>
  <c r="N17" i="3" s="1"/>
  <c r="N19" i="3" s="1"/>
  <c r="N20" i="3" s="1"/>
  <c r="N28" i="3" s="1"/>
  <c r="O16" i="3"/>
  <c r="O17" i="3" s="1"/>
  <c r="O19" i="3" s="1"/>
  <c r="O20" i="3" s="1"/>
  <c r="C22" i="3" s="1"/>
  <c r="F15" i="1"/>
  <c r="O5" i="1" s="1"/>
  <c r="K7" i="1"/>
  <c r="P16" i="3"/>
  <c r="P17" i="3" s="1"/>
  <c r="P19" i="3" s="1"/>
  <c r="P20" i="3" s="1"/>
  <c r="P32" i="3" s="1"/>
  <c r="P33" i="3" s="1"/>
  <c r="J157" i="3"/>
  <c r="C30" i="3" s="1"/>
  <c r="D87" i="4"/>
  <c r="D88" i="4" s="1"/>
  <c r="G87" i="4"/>
  <c r="F87" i="4"/>
  <c r="E87" i="4"/>
  <c r="E88" i="4" s="1"/>
  <c r="P56" i="3"/>
  <c r="P57" i="3" s="1"/>
  <c r="P59" i="3" s="1"/>
  <c r="P60" i="3" s="1"/>
  <c r="O56" i="3"/>
  <c r="O57" i="3" s="1"/>
  <c r="O59" i="3" s="1"/>
  <c r="O60" i="3" s="1"/>
  <c r="N56" i="3"/>
  <c r="N57" i="3" s="1"/>
  <c r="N59" i="3" s="1"/>
  <c r="N60" i="3" s="1"/>
  <c r="N46" i="3"/>
  <c r="M56" i="3"/>
  <c r="M57" i="3" s="1"/>
  <c r="M59" i="3" s="1"/>
  <c r="M60" i="3" s="1"/>
  <c r="G14" i="1"/>
  <c r="R82" i="1"/>
  <c r="R88" i="1" s="1"/>
  <c r="R51" i="1"/>
  <c r="K6" i="1"/>
  <c r="F7" i="1"/>
  <c r="G7" i="1" s="1"/>
  <c r="K17" i="1"/>
  <c r="F8" i="1"/>
  <c r="G8" i="1" s="1"/>
  <c r="F10" i="1"/>
  <c r="K19" i="1"/>
  <c r="O66" i="1" s="1"/>
  <c r="F5" i="1"/>
  <c r="G27" i="1"/>
  <c r="K4" i="1"/>
  <c r="C24" i="1"/>
  <c r="O19" i="2" s="1"/>
  <c r="K16" i="1"/>
  <c r="L25" i="1"/>
  <c r="G32" i="1" s="1"/>
  <c r="O18" i="2" s="1"/>
  <c r="E62" i="2" s="1"/>
  <c r="H24" i="2" s="1"/>
  <c r="F17" i="13" s="1"/>
  <c r="G33" i="1"/>
  <c r="G34" i="1"/>
  <c r="G35" i="1" s="1"/>
  <c r="K5" i="1"/>
  <c r="C143" i="1"/>
  <c r="C141" i="1"/>
  <c r="G6" i="1"/>
  <c r="E63" i="2" l="1"/>
  <c r="H25" i="2" s="1"/>
  <c r="F18" i="13" s="1"/>
  <c r="N11" i="10"/>
  <c r="F17" i="1"/>
  <c r="N32" i="3"/>
  <c r="N33" i="3" s="1"/>
  <c r="N36" i="3" s="1"/>
  <c r="N29" i="3" s="1"/>
  <c r="M28" i="3"/>
  <c r="P28" i="3"/>
  <c r="Q21" i="1"/>
  <c r="R18" i="1"/>
  <c r="R24" i="1"/>
  <c r="Q16" i="2" s="1"/>
  <c r="Q24" i="1"/>
  <c r="O21" i="1"/>
  <c r="O24" i="1"/>
  <c r="B98" i="2"/>
  <c r="E139" i="2"/>
  <c r="K18" i="1"/>
  <c r="O28" i="3"/>
  <c r="O32" i="3"/>
  <c r="O33" i="3" s="1"/>
  <c r="P37" i="3" s="1"/>
  <c r="G15" i="1"/>
  <c r="O6" i="1"/>
  <c r="O8" i="1"/>
  <c r="G10" i="1"/>
  <c r="G24" i="1"/>
  <c r="G88" i="4"/>
  <c r="F88" i="4"/>
  <c r="O68" i="3"/>
  <c r="I25" i="3" s="1"/>
  <c r="O72" i="3"/>
  <c r="O73" i="3" s="1"/>
  <c r="P68" i="3"/>
  <c r="I26" i="3" s="1"/>
  <c r="P72" i="3"/>
  <c r="P73" i="3" s="1"/>
  <c r="N72" i="3"/>
  <c r="N73" i="3" s="1"/>
  <c r="N68" i="3"/>
  <c r="I24" i="3" s="1"/>
  <c r="M36" i="3"/>
  <c r="M29" i="3" s="1"/>
  <c r="M35" i="3"/>
  <c r="D18" i="3" s="1"/>
  <c r="P35" i="3"/>
  <c r="D21" i="3" s="1"/>
  <c r="E21" i="3" s="1"/>
  <c r="P36" i="3"/>
  <c r="P29" i="3" s="1"/>
  <c r="M72" i="3"/>
  <c r="M73" i="3" s="1"/>
  <c r="M68" i="3"/>
  <c r="I23" i="3" s="1"/>
  <c r="G19" i="1"/>
  <c r="G36" i="1"/>
  <c r="O64" i="1"/>
  <c r="P75" i="1" s="1"/>
  <c r="O63" i="1"/>
  <c r="Q75" i="1" s="1"/>
  <c r="O35" i="3" l="1"/>
  <c r="D20" i="3" s="1"/>
  <c r="E20" i="3" s="1"/>
  <c r="N12" i="10"/>
  <c r="N13" i="10" s="1"/>
  <c r="E19" i="10" s="1"/>
  <c r="O11" i="10"/>
  <c r="D51" i="2"/>
  <c r="N35" i="3"/>
  <c r="D19" i="3" s="1"/>
  <c r="O36" i="3"/>
  <c r="O29" i="3" s="1"/>
  <c r="M37" i="3"/>
  <c r="O37" i="3"/>
  <c r="N37" i="3"/>
  <c r="Q15" i="2"/>
  <c r="Q13" i="2"/>
  <c r="Q12" i="2"/>
  <c r="C58" i="1"/>
  <c r="B57" i="1" s="1"/>
  <c r="E108" i="2"/>
  <c r="K20" i="1"/>
  <c r="I63" i="2"/>
  <c r="E137" i="2"/>
  <c r="K25" i="1"/>
  <c r="P77" i="3"/>
  <c r="P75" i="3"/>
  <c r="P76" i="3"/>
  <c r="P69" i="3" s="1"/>
  <c r="N76" i="3"/>
  <c r="N69" i="3" s="1"/>
  <c r="N77" i="3"/>
  <c r="N75" i="3"/>
  <c r="M76" i="3"/>
  <c r="M69" i="3" s="1"/>
  <c r="M77" i="3"/>
  <c r="M75" i="3"/>
  <c r="O77" i="3"/>
  <c r="O75" i="3"/>
  <c r="O76" i="3"/>
  <c r="O69" i="3" s="1"/>
  <c r="R75" i="1"/>
  <c r="G17" i="1"/>
  <c r="K26" i="1"/>
  <c r="O4" i="1"/>
  <c r="C27" i="1"/>
  <c r="C31" i="1" s="1"/>
  <c r="C32" i="1" s="1"/>
  <c r="L20" i="2" l="1"/>
  <c r="D52" i="2" s="1"/>
  <c r="O6" i="2"/>
  <c r="D13" i="4" s="1"/>
  <c r="N23" i="2"/>
  <c r="D50" i="2" s="1"/>
  <c r="Z6" i="2"/>
  <c r="S6" i="2"/>
  <c r="S5" i="2"/>
  <c r="O17" i="2"/>
  <c r="D107" i="2"/>
  <c r="AJ73" i="2" s="1"/>
  <c r="R23" i="1"/>
  <c r="P15" i="2" s="1"/>
  <c r="Q23" i="1"/>
  <c r="Q15" i="1"/>
  <c r="Q19" i="1" s="1"/>
  <c r="Q22" i="1" s="1"/>
  <c r="O23" i="1"/>
  <c r="O26" i="1"/>
  <c r="L20" i="1"/>
  <c r="O62" i="1"/>
  <c r="P73" i="1" s="1"/>
  <c r="P74" i="1" s="1"/>
  <c r="P76" i="1" s="1"/>
  <c r="P77" i="1" s="1"/>
  <c r="P89" i="1" s="1"/>
  <c r="P90" i="1" s="1"/>
  <c r="P92" i="1" s="1"/>
  <c r="K22" i="1" s="1"/>
  <c r="D56" i="1"/>
  <c r="C59" i="1" s="1"/>
  <c r="C28" i="1"/>
  <c r="R15" i="1"/>
  <c r="P5" i="1"/>
  <c r="O15" i="1"/>
  <c r="D1" i="13" l="1"/>
  <c r="M22" i="2"/>
  <c r="N22" i="2" s="1"/>
  <c r="M24" i="2" s="1"/>
  <c r="E46" i="2"/>
  <c r="L51" i="2" s="1"/>
  <c r="V3" i="7"/>
  <c r="V3" i="1"/>
  <c r="M31" i="2"/>
  <c r="K37" i="2" s="1"/>
  <c r="M92" i="2"/>
  <c r="O30" i="1"/>
  <c r="O34" i="1" s="1"/>
  <c r="P13" i="2" s="1"/>
  <c r="O33" i="1"/>
  <c r="P16" i="2" s="1"/>
  <c r="Q20" i="1"/>
  <c r="O11" i="2" s="1"/>
  <c r="R19" i="1"/>
  <c r="O19" i="1"/>
  <c r="P93" i="1"/>
  <c r="P86" i="1" s="1"/>
  <c r="Q73" i="1"/>
  <c r="Q74" i="1" s="1"/>
  <c r="Q76" i="1" s="1"/>
  <c r="Q77" i="1" s="1"/>
  <c r="Q85" i="1" s="1"/>
  <c r="R73" i="1"/>
  <c r="R74" i="1" s="1"/>
  <c r="R76" i="1" s="1"/>
  <c r="R77" i="1" s="1"/>
  <c r="R89" i="1" s="1"/>
  <c r="R90" i="1" s="1"/>
  <c r="P63" i="1"/>
  <c r="O73" i="1"/>
  <c r="O74" i="1" s="1"/>
  <c r="O76" i="1" s="1"/>
  <c r="O77" i="1" s="1"/>
  <c r="O89" i="1" s="1"/>
  <c r="O90" i="1" s="1"/>
  <c r="P85" i="1"/>
  <c r="Q49" i="1"/>
  <c r="Q50" i="1" s="1"/>
  <c r="Q54" i="1" s="1"/>
  <c r="G20" i="1"/>
  <c r="P49" i="1"/>
  <c r="P50" i="1" s="1"/>
  <c r="G6" i="2" l="1"/>
  <c r="L37" i="2"/>
  <c r="G18" i="2" s="1"/>
  <c r="D11" i="13" s="1"/>
  <c r="H18" i="2"/>
  <c r="F11" i="13" s="1"/>
  <c r="H11" i="2"/>
  <c r="E57" i="2"/>
  <c r="E58" i="2"/>
  <c r="G19" i="2"/>
  <c r="D12" i="13" s="1"/>
  <c r="E47" i="2"/>
  <c r="E27" i="4"/>
  <c r="E28" i="4" s="1"/>
  <c r="D27" i="4"/>
  <c r="D28" i="4" s="1"/>
  <c r="G27" i="4"/>
  <c r="G28" i="4" s="1"/>
  <c r="H27" i="4"/>
  <c r="H28" i="4" s="1"/>
  <c r="F27" i="4"/>
  <c r="F28" i="4" s="1"/>
  <c r="R22" i="1"/>
  <c r="P12" i="2" s="1"/>
  <c r="O15" i="2"/>
  <c r="O16" i="2"/>
  <c r="O31" i="1"/>
  <c r="O22" i="1"/>
  <c r="R49" i="1"/>
  <c r="R50" i="1" s="1"/>
  <c r="R54" i="1" s="1"/>
  <c r="O20" i="1"/>
  <c r="O13" i="2" s="1"/>
  <c r="R20" i="1"/>
  <c r="O12" i="2" s="1"/>
  <c r="F10" i="5"/>
  <c r="F26" i="5" s="1"/>
  <c r="G84" i="4"/>
  <c r="G91" i="4" s="1"/>
  <c r="G92" i="4" s="1"/>
  <c r="E84" i="4"/>
  <c r="E91" i="4" s="1"/>
  <c r="E92" i="4" s="1"/>
  <c r="D84" i="4"/>
  <c r="D91" i="4" s="1"/>
  <c r="D92" i="4" s="1"/>
  <c r="H84" i="4"/>
  <c r="H91" i="4" s="1"/>
  <c r="H92" i="4" s="1"/>
  <c r="F84" i="4"/>
  <c r="F91" i="4" s="1"/>
  <c r="F92" i="4" s="1"/>
  <c r="Q89" i="1"/>
  <c r="Q90" i="1" s="1"/>
  <c r="Q93" i="1" s="1"/>
  <c r="Q86" i="1" s="1"/>
  <c r="R85" i="1"/>
  <c r="O85" i="1"/>
  <c r="Q53" i="1"/>
  <c r="O49" i="1"/>
  <c r="O50" i="1" s="1"/>
  <c r="Q52" i="1"/>
  <c r="P54" i="1"/>
  <c r="P52" i="1"/>
  <c r="P53" i="1"/>
  <c r="O93" i="1"/>
  <c r="O86" i="1" s="1"/>
  <c r="O92" i="1"/>
  <c r="K21" i="1" s="1"/>
  <c r="R93" i="1"/>
  <c r="R86" i="1" s="1"/>
  <c r="R92" i="1"/>
  <c r="K24" i="1" s="1"/>
  <c r="E18" i="10" l="1"/>
  <c r="B22" i="10" s="1"/>
  <c r="F6" i="13"/>
  <c r="D53" i="2"/>
  <c r="G20" i="2" s="1"/>
  <c r="D13" i="13" s="1"/>
  <c r="E59" i="2"/>
  <c r="E60" i="2" s="1"/>
  <c r="H14" i="2" s="1"/>
  <c r="D47" i="2"/>
  <c r="R53" i="1"/>
  <c r="R52" i="1"/>
  <c r="O94" i="1"/>
  <c r="D43" i="4"/>
  <c r="D46" i="4" s="1"/>
  <c r="D49" i="4" s="1"/>
  <c r="D41" i="4"/>
  <c r="D42" i="4" s="1"/>
  <c r="D22" i="4" s="1"/>
  <c r="E97" i="4"/>
  <c r="E98" i="4" s="1"/>
  <c r="D97" i="4"/>
  <c r="D98" i="4" s="1"/>
  <c r="G41" i="4"/>
  <c r="G42" i="4" s="1"/>
  <c r="G22" i="4" s="1"/>
  <c r="E41" i="4"/>
  <c r="E42" i="4" s="1"/>
  <c r="E22" i="4" s="1"/>
  <c r="F43" i="4"/>
  <c r="F46" i="4" s="1"/>
  <c r="F49" i="4" s="1"/>
  <c r="F41" i="4"/>
  <c r="F42" i="4" s="1"/>
  <c r="F22" i="4" s="1"/>
  <c r="G97" i="4"/>
  <c r="G98" i="4" s="1"/>
  <c r="F97" i="4"/>
  <c r="F98" i="4" s="1"/>
  <c r="H41" i="4"/>
  <c r="H42" i="4" s="1"/>
  <c r="H22" i="4" s="1"/>
  <c r="H97" i="4"/>
  <c r="H98" i="4" s="1"/>
  <c r="I26" i="5"/>
  <c r="J10" i="5"/>
  <c r="J26" i="5"/>
  <c r="I10" i="5"/>
  <c r="G10" i="5"/>
  <c r="G26" i="5"/>
  <c r="R94" i="1"/>
  <c r="P94" i="1"/>
  <c r="Q92" i="1"/>
  <c r="K23" i="1" s="1"/>
  <c r="Q94" i="1"/>
  <c r="O53" i="1"/>
  <c r="O52" i="1"/>
  <c r="O54" i="1"/>
  <c r="B21" i="10" l="1"/>
  <c r="F52" i="4"/>
  <c r="D52" i="4"/>
  <c r="D29" i="4"/>
  <c r="D44" i="4" s="1"/>
  <c r="D47" i="4" s="1"/>
  <c r="D50" i="4" s="1"/>
  <c r="H21" i="4"/>
  <c r="H89" i="4"/>
  <c r="D89" i="4"/>
  <c r="D21" i="4"/>
  <c r="F89" i="4"/>
  <c r="F21" i="4"/>
  <c r="G38" i="5"/>
  <c r="G39" i="5" s="1"/>
  <c r="G27" i="5"/>
  <c r="G40" i="5" s="1"/>
  <c r="G21" i="4"/>
  <c r="G89" i="4"/>
  <c r="F29" i="4"/>
  <c r="F44" i="4" s="1"/>
  <c r="F38" i="5"/>
  <c r="F39" i="5" s="1"/>
  <c r="I22" i="4" s="1"/>
  <c r="F27" i="5"/>
  <c r="F40" i="5" s="1"/>
  <c r="E89" i="4"/>
  <c r="E21" i="4"/>
  <c r="H43" i="4"/>
  <c r="H29" i="4"/>
  <c r="H44" i="4" s="1"/>
  <c r="H47" i="4" s="1"/>
  <c r="H50" i="4" s="1"/>
  <c r="J38" i="5"/>
  <c r="J39" i="5" s="1"/>
  <c r="J27" i="5"/>
  <c r="J40" i="5" s="1"/>
  <c r="E43" i="4"/>
  <c r="E29" i="4"/>
  <c r="E44" i="4" s="1"/>
  <c r="E47" i="4" s="1"/>
  <c r="E50" i="4" s="1"/>
  <c r="I27" i="5"/>
  <c r="I40" i="5" s="1"/>
  <c r="I38" i="5"/>
  <c r="I39" i="5" s="1"/>
  <c r="G43" i="4"/>
  <c r="G29" i="4"/>
  <c r="G44" i="4" s="1"/>
  <c r="G47" i="4" s="1"/>
  <c r="G50" i="4" s="1"/>
  <c r="D51" i="4" l="1"/>
  <c r="D45" i="4"/>
  <c r="I28" i="5"/>
  <c r="I41" i="5" s="1"/>
  <c r="I44" i="5" s="1"/>
  <c r="I47" i="5" s="1"/>
  <c r="D48" i="4"/>
  <c r="F28" i="5"/>
  <c r="F41" i="5" s="1"/>
  <c r="F44" i="5" s="1"/>
  <c r="G28" i="5"/>
  <c r="G41" i="5" s="1"/>
  <c r="G44" i="5" s="1"/>
  <c r="G50" i="5" s="1"/>
  <c r="J28" i="5"/>
  <c r="J41" i="5" s="1"/>
  <c r="J44" i="5" s="1"/>
  <c r="J50" i="5" s="1"/>
  <c r="F43" i="5"/>
  <c r="F46" i="5" s="1"/>
  <c r="F47" i="4"/>
  <c r="F50" i="4" s="1"/>
  <c r="F45" i="4"/>
  <c r="E94" i="4"/>
  <c r="E96" i="4" s="1"/>
  <c r="E95" i="4"/>
  <c r="E46" i="4"/>
  <c r="E49" i="4" s="1"/>
  <c r="E45" i="4"/>
  <c r="J43" i="5"/>
  <c r="F95" i="4"/>
  <c r="F94" i="4"/>
  <c r="F96" i="4" s="1"/>
  <c r="G95" i="4"/>
  <c r="G94" i="4"/>
  <c r="G96" i="4" s="1"/>
  <c r="D95" i="4"/>
  <c r="D94" i="4"/>
  <c r="D96" i="4" s="1"/>
  <c r="H46" i="4"/>
  <c r="H49" i="4" s="1"/>
  <c r="H45" i="4"/>
  <c r="H94" i="4"/>
  <c r="H96" i="4" s="1"/>
  <c r="H95" i="4"/>
  <c r="G46" i="4"/>
  <c r="G49" i="4" s="1"/>
  <c r="G45" i="4"/>
  <c r="I43" i="5"/>
  <c r="G43" i="5"/>
  <c r="F51" i="4" l="1"/>
  <c r="F47" i="5"/>
  <c r="I42" i="5"/>
  <c r="I50" i="5"/>
  <c r="F42" i="5"/>
  <c r="G42" i="5"/>
  <c r="J42" i="5"/>
  <c r="G47" i="5"/>
  <c r="J47" i="5"/>
  <c r="J49" i="5"/>
  <c r="J51" i="5" s="1"/>
  <c r="J52" i="5" s="1"/>
  <c r="J53" i="5" s="1"/>
  <c r="J45" i="5"/>
  <c r="J46" i="5"/>
  <c r="F49" i="5"/>
  <c r="F45" i="5"/>
  <c r="G45" i="5"/>
  <c r="G49" i="5"/>
  <c r="G51" i="5" s="1"/>
  <c r="G52" i="5" s="1"/>
  <c r="G53" i="5" s="1"/>
  <c r="G46" i="5"/>
  <c r="H48" i="4"/>
  <c r="H52" i="4"/>
  <c r="H51" i="4"/>
  <c r="G48" i="4"/>
  <c r="G52" i="4"/>
  <c r="G51" i="4"/>
  <c r="I46" i="5"/>
  <c r="I48" i="5" s="1"/>
  <c r="I49" i="5"/>
  <c r="I45" i="5"/>
  <c r="E51" i="4"/>
  <c r="E52" i="4"/>
  <c r="E48" i="4"/>
  <c r="F48" i="4"/>
  <c r="I51" i="5" l="1"/>
  <c r="I52" i="5" s="1"/>
  <c r="I53" i="5" s="1"/>
  <c r="I54" i="5" s="1"/>
  <c r="F48" i="5"/>
  <c r="G48" i="5"/>
  <c r="G54" i="5" s="1"/>
  <c r="J48" i="5"/>
  <c r="J54" i="5" s="1"/>
  <c r="I34" i="4"/>
  <c r="D31" i="4" s="1"/>
  <c r="D53" i="4" s="1"/>
  <c r="D54" i="4" s="1"/>
  <c r="D55" i="4" s="1"/>
  <c r="D56" i="4" s="1"/>
  <c r="D57" i="4" s="1"/>
  <c r="D20" i="4" s="1"/>
  <c r="E64" i="2" s="1"/>
  <c r="H28" i="2" s="1"/>
  <c r="F21" i="13" s="1"/>
  <c r="J34" i="4"/>
  <c r="F31" i="4" l="1"/>
  <c r="F53" i="4" s="1"/>
  <c r="F54" i="4" s="1"/>
  <c r="F55" i="4" s="1"/>
  <c r="F56" i="4" s="1"/>
  <c r="F57" i="4" s="1"/>
  <c r="F20" i="4" s="1"/>
  <c r="E66" i="2" s="1"/>
  <c r="H30" i="2" s="1"/>
  <c r="F23" i="13" s="1"/>
  <c r="E31" i="4"/>
  <c r="E53" i="4" s="1"/>
  <c r="E54" i="4" s="1"/>
  <c r="E55" i="4" s="1"/>
  <c r="E56" i="4" s="1"/>
  <c r="E57" i="4" s="1"/>
  <c r="E20" i="4" s="1"/>
  <c r="E65" i="2" s="1"/>
  <c r="H29" i="2" s="1"/>
  <c r="F22" i="13" s="1"/>
  <c r="H31" i="4"/>
  <c r="H53" i="4" s="1"/>
  <c r="H54" i="4" s="1"/>
  <c r="H55" i="4" s="1"/>
  <c r="H56" i="4" s="1"/>
  <c r="H57" i="4" s="1"/>
  <c r="H20" i="4" s="1"/>
  <c r="E68" i="2" s="1"/>
  <c r="H32" i="2" s="1"/>
  <c r="F25" i="13" s="1"/>
  <c r="G31" i="4"/>
  <c r="G53" i="4" s="1"/>
  <c r="G54" i="4" s="1"/>
  <c r="G55" i="4" s="1"/>
  <c r="G56" i="4" s="1"/>
  <c r="G57" i="4" s="1"/>
  <c r="G20" i="4" s="1"/>
  <c r="E67" i="2" s="1"/>
  <c r="H31" i="2" s="1"/>
  <c r="F24" i="13" s="1"/>
  <c r="F30" i="5"/>
  <c r="F50" i="5" s="1"/>
  <c r="F51" i="5" s="1"/>
  <c r="F52" i="5" s="1"/>
  <c r="F53" i="5" s="1"/>
  <c r="F54" i="5" s="1"/>
  <c r="I20" i="4" s="1"/>
  <c r="E69" i="2" s="1"/>
  <c r="H33" i="2" s="1"/>
  <c r="F26"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Romanens Michel</author>
  </authors>
  <commentList>
    <comment ref="E7" authorId="0" shapeId="0" xr:uid="{8ACC53EF-0B16-4537-B58B-D3BB83053F18}">
      <text>
        <r>
          <rPr>
            <b/>
            <sz val="9"/>
            <color indexed="81"/>
            <rFont val="Segoe UI"/>
            <family val="2"/>
          </rPr>
          <t>Romanens Michel:</t>
        </r>
        <r>
          <rPr>
            <sz val="9"/>
            <color indexed="81"/>
            <rFont val="Segoe UI"/>
            <family val="2"/>
          </rPr>
          <t xml:space="preserve">
The calculator uses this number for risk assessment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Romanens Michel</author>
    <author>LPE</author>
  </authors>
  <commentList>
    <comment ref="T6" authorId="0" shapeId="0" xr:uid="{1B755B06-B3CC-4DBC-A764-E10264C82BF3}">
      <text>
        <r>
          <rPr>
            <b/>
            <sz val="14"/>
            <color indexed="81"/>
            <rFont val="Segoe UI"/>
            <family val="2"/>
          </rPr>
          <t>Romanens Michel: SMB = Swiss Medical Board. Berechnung: SCORE x 5.5.</t>
        </r>
        <r>
          <rPr>
            <sz val="9"/>
            <color indexed="81"/>
            <rFont val="Segoe UI"/>
            <family val="2"/>
          </rPr>
          <t xml:space="preserve">
</t>
        </r>
      </text>
    </comment>
    <comment ref="Q11" authorId="0" shapeId="0" xr:uid="{1B71E9C3-BBF7-4008-A83B-73831571FBAB}">
      <text>
        <r>
          <rPr>
            <b/>
            <sz val="9"/>
            <color indexed="81"/>
            <rFont val="Segoe UI"/>
            <family val="2"/>
          </rPr>
          <t>Romanens Michel:</t>
        </r>
        <r>
          <rPr>
            <sz val="9"/>
            <color indexed="81"/>
            <rFont val="Segoe UI"/>
            <family val="2"/>
          </rPr>
          <t xml:space="preserve">
achieved LDL with optimal LDL lowering therapy
</t>
        </r>
      </text>
    </comment>
    <comment ref="Q14" authorId="0" shapeId="0" xr:uid="{0466883E-0FC1-4ED9-8AC9-499D4FB8B7B4}">
      <text>
        <r>
          <rPr>
            <b/>
            <sz val="9"/>
            <color indexed="81"/>
            <rFont val="Segoe UI"/>
            <family val="2"/>
          </rPr>
          <t>Romanens Michel:</t>
        </r>
        <r>
          <rPr>
            <sz val="9"/>
            <color indexed="81"/>
            <rFont val="Segoe UI"/>
            <family val="2"/>
          </rPr>
          <t xml:space="preserve">
achieved LDL with optimal LDL lowering therapy
</t>
        </r>
      </text>
    </comment>
    <comment ref="L20" authorId="0" shapeId="0" xr:uid="{FF28CB03-BD3C-4645-A98D-7B416A9A116E}">
      <text>
        <r>
          <rPr>
            <b/>
            <sz val="9"/>
            <color indexed="81"/>
            <rFont val="Segoe UI"/>
            <family val="2"/>
          </rPr>
          <t>Romanens Michel:</t>
        </r>
        <r>
          <rPr>
            <sz val="9"/>
            <color indexed="81"/>
            <rFont val="Segoe UI"/>
            <family val="2"/>
          </rPr>
          <t xml:space="preserve">
Xarelto vascular  2x2.5 mg per day</t>
        </r>
      </text>
    </comment>
    <comment ref="E32" authorId="1" shapeId="0" xr:uid="{D4A92D6B-EADA-4419-BCC1-4732E181848F}">
      <text>
        <r>
          <rPr>
            <b/>
            <sz val="9"/>
            <color indexed="81"/>
            <rFont val="Segoe UI"/>
            <family val="2"/>
          </rPr>
          <t>Varifo:
==&gt; N (default)
► Prior spont. ICH
► Known bAVM
► Traumatic ICH
&lt;12 months
► Moderate or severei schemic stroke
&lt;6 months</t>
        </r>
        <r>
          <rPr>
            <sz val="9"/>
            <color indexed="81"/>
            <rFont val="Segoe UI"/>
            <family val="2"/>
          </rPr>
          <t xml:space="preserve">
==&gt; Y
Any other prior ischemic stroke
==&gt; 1</t>
        </r>
      </text>
    </comment>
    <comment ref="E34" authorId="1" shapeId="0" xr:uid="{BA463476-246A-480F-B350-FE5768C0CE7D}">
      <text>
        <r>
          <rPr>
            <b/>
            <sz val="9"/>
            <color indexed="81"/>
            <rFont val="Segoe UI"/>
            <family val="2"/>
          </rPr>
          <t>LPE:</t>
        </r>
        <r>
          <rPr>
            <sz val="9"/>
            <color indexed="81"/>
            <rFont val="Segoe UI"/>
            <family val="2"/>
          </rPr>
          <t xml:space="preserve">
==&gt; N (Default)
Spontaneous bleeding
+
hospital and or transfusion
&lt;6 months or at any time if recurrent
==&gt; Y
Same, 6-­‐12 months,
Notrecurrent
==&gt; 1</t>
        </r>
      </text>
    </comment>
    <comment ref="E35" authorId="1" shapeId="0" xr:uid="{E0AF1697-976F-4AEF-8AD0-EE4625098A0C}">
      <text>
        <r>
          <rPr>
            <b/>
            <sz val="9"/>
            <color indexed="81"/>
            <rFont val="Segoe UI"/>
            <family val="2"/>
          </rPr>
          <t>Varifo:</t>
        </r>
        <r>
          <rPr>
            <sz val="9"/>
            <color indexed="81"/>
            <rFont val="Segoe UI"/>
            <family val="2"/>
          </rPr>
          <t xml:space="preserve">
Long term after PCI</t>
        </r>
      </text>
    </comment>
    <comment ref="E36" authorId="1" shapeId="0" xr:uid="{05864ED0-84D7-4896-871E-8337B74C530C}">
      <text>
        <r>
          <rPr>
            <b/>
            <sz val="9"/>
            <color indexed="81"/>
            <rFont val="Segoe UI"/>
            <family val="2"/>
          </rPr>
          <t>LPE:</t>
        </r>
        <r>
          <rPr>
            <sz val="9"/>
            <color indexed="81"/>
            <rFont val="Segoe UI"/>
            <family val="2"/>
          </rPr>
          <t xml:space="preserve">
Chronic use after PCI</t>
        </r>
      </text>
    </comment>
    <comment ref="E37" authorId="1" shapeId="0" xr:uid="{966FB7D2-C2B3-4BBD-9696-4C8C31AFE07D}">
      <text>
        <r>
          <rPr>
            <b/>
            <sz val="9"/>
            <color indexed="81"/>
            <rFont val="Segoe UI"/>
            <family val="2"/>
          </rPr>
          <t>Varifo:</t>
        </r>
        <r>
          <rPr>
            <sz val="9"/>
            <color indexed="81"/>
            <rFont val="Segoe UI"/>
            <family val="2"/>
          </rPr>
          <t xml:space="preserve">
► Non-­‐deferrable Surgery on DAPT
► Major trauma or surgery in prior 30 days</t>
        </r>
      </text>
    </comment>
    <comment ref="D40" authorId="0" shapeId="0" xr:uid="{DE4CD2D7-62DB-4E22-B128-68A67CBF249F}">
      <text>
        <r>
          <rPr>
            <b/>
            <sz val="9"/>
            <color indexed="81"/>
            <rFont val="Segoe UI"/>
            <family val="2"/>
          </rPr>
          <t>Romanens Michel
Example: if your patient has a disabling stroke, the life of quality may be reduced by 50%
This value will recalculate cost efficiency based upon your patients quality of life losses. 
The default value set by the Swiss Medical Board is 20%</t>
        </r>
      </text>
    </comment>
    <comment ref="D41" authorId="0" shapeId="0" xr:uid="{A82CA4FD-5170-4E2E-ADC8-8B9D0CE5EE2B}">
      <text>
        <r>
          <rPr>
            <b/>
            <sz val="9"/>
            <color indexed="81"/>
            <rFont val="Segoe UI"/>
            <family val="2"/>
          </rPr>
          <t>Romanens Michel:</t>
        </r>
        <r>
          <rPr>
            <sz val="9"/>
            <color indexed="81"/>
            <rFont val="Segoe UI"/>
            <family val="2"/>
          </rPr>
          <t xml:space="preserve">
Do you want to calculate the cost-efficiency threshold in your patient?
Just enter the price you would eventually pay for that patient per day, e.g. 12.00 CHF.
The Cost/QALY result is read in the cost-efficiency table for Evolocumab and Alirocumab. 
When cost / QALY is &gt; 150'000, then the price is NOT cost-efficient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author>
  </authors>
  <commentList>
    <comment ref="E16" authorId="0" shapeId="0" xr:uid="{07849586-374F-4195-AA80-661B40A60A0D}">
      <text>
        <r>
          <rPr>
            <b/>
            <sz val="10"/>
            <color indexed="81"/>
            <rFont val="Tahoma"/>
            <family val="2"/>
          </rPr>
          <t>Varifo:
AGLA risk is an estimate</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Romanens Michel</author>
  </authors>
  <commentList>
    <comment ref="G6" authorId="0" shapeId="0" xr:uid="{9E665C04-C274-4472-88BE-46105B3B5F77}">
      <text>
        <r>
          <rPr>
            <b/>
            <sz val="9"/>
            <color indexed="81"/>
            <rFont val="Segoe UI"/>
            <family val="2"/>
          </rPr>
          <t>Romanens Michel:</t>
        </r>
        <r>
          <rPr>
            <sz val="9"/>
            <color indexed="81"/>
            <rFont val="Segoe UI"/>
            <family val="2"/>
          </rPr>
          <t xml:space="preserve">
default is 20</t>
        </r>
      </text>
    </comment>
  </commentList>
</comments>
</file>

<file path=xl/sharedStrings.xml><?xml version="1.0" encoding="utf-8"?>
<sst xmlns="http://schemas.openxmlformats.org/spreadsheetml/2006/main" count="2345" uniqueCount="655">
  <si>
    <t>name optional</t>
  </si>
  <si>
    <t xml:space="preserve"> </t>
  </si>
  <si>
    <t xml:space="preserve">  10 Year Framingham Risk for CVD</t>
  </si>
  <si>
    <t xml:space="preserve">    Secondary Prevention Risk Calculator</t>
  </si>
  <si>
    <t>10 year risk calculator and effects of LDL on risk reduction and costs in an NNT model</t>
  </si>
  <si>
    <t>Geschlecht</t>
  </si>
  <si>
    <t>Alter</t>
  </si>
  <si>
    <t>General</t>
  </si>
  <si>
    <t>Age</t>
  </si>
  <si>
    <t>Probability of event prior to LDL reduction</t>
  </si>
  <si>
    <t>AGLA risk</t>
  </si>
  <si>
    <t>Grösse</t>
  </si>
  <si>
    <t>Age (chronological)</t>
  </si>
  <si>
    <t>Sex (M/F)</t>
  </si>
  <si>
    <t>Expected relativ risk reduction in percent with high dose Statin alone = 35% of a patients LDL cholesterol</t>
  </si>
  <si>
    <t>Gewicht</t>
  </si>
  <si>
    <t>Sex</t>
  </si>
  <si>
    <t>Smoker (J/N)</t>
  </si>
  <si>
    <t>Expected relativ risk reduction in percent with PCSK alone (depends on baseline LDL)</t>
  </si>
  <si>
    <t>Erreichte Watt</t>
  </si>
  <si>
    <t>Blood Pressure (mm Hg)</t>
  </si>
  <si>
    <t>Blood pressure (BP)</t>
  </si>
  <si>
    <t>Expected relativ risk reduction in percent with Statin PCSK combination (depends on baseline LDL)</t>
  </si>
  <si>
    <t>Ruhe-Blutdruck</t>
  </si>
  <si>
    <t>BP on treatment (J/N)</t>
  </si>
  <si>
    <t>Expected relativ risk reduction in percent with Statin Ezetimibe combination (depends on baseline LDL)</t>
  </si>
  <si>
    <t>BD behandelt</t>
  </si>
  <si>
    <t>J</t>
  </si>
  <si>
    <t>Daily Statin Cost</t>
  </si>
  <si>
    <t>Diabetes</t>
  </si>
  <si>
    <t>History</t>
  </si>
  <si>
    <t>Diabetes (J/N)</t>
  </si>
  <si>
    <t>Daily Ezetimibe Cost</t>
  </si>
  <si>
    <t>Raucher</t>
  </si>
  <si>
    <t>MI (J/N)</t>
  </si>
  <si>
    <t>Daily PCSK Cost</t>
  </si>
  <si>
    <t>St.n. AMI</t>
  </si>
  <si>
    <t>CABG (J/N)</t>
  </si>
  <si>
    <t>10 year procedural and societal (indirect) costs of CVE</t>
  </si>
  <si>
    <t>St. n. STROKE</t>
  </si>
  <si>
    <t>Laboratory</t>
  </si>
  <si>
    <t>HDL (mmol/l)</t>
  </si>
  <si>
    <t>CHF (J/N)</t>
  </si>
  <si>
    <t>Statin + PCSK9</t>
  </si>
  <si>
    <t>PCSK9 alone</t>
  </si>
  <si>
    <t>Statin alone</t>
  </si>
  <si>
    <t>Statin + Eze</t>
  </si>
  <si>
    <t>CABG</t>
  </si>
  <si>
    <t>CHOL (mmol/l)</t>
  </si>
  <si>
    <t>CVD (J/N)</t>
  </si>
  <si>
    <t>Heart Failure</t>
  </si>
  <si>
    <t>LDL (mmol/l)</t>
  </si>
  <si>
    <t>Prior  probability of Cardiovascular events (mainly AMI, Stroke)</t>
  </si>
  <si>
    <t xml:space="preserve">Cholesterin </t>
  </si>
  <si>
    <t>AGLA (%, estimated)</t>
  </si>
  <si>
    <t>Markov Model of those with event and repeated events in 10 years Factor 1.111)</t>
  </si>
  <si>
    <t>HDL</t>
  </si>
  <si>
    <t>Event Risk (%)</t>
  </si>
  <si>
    <t xml:space="preserve">10-year CVD FRAM </t>
  </si>
  <si>
    <t>Risk Reduction for all vascular Events</t>
  </si>
  <si>
    <t>LDL</t>
  </si>
  <si>
    <t>Statin + PCSK9 Cost / Benefit Sfr.</t>
  </si>
  <si>
    <t>SCORE CVD (%)</t>
  </si>
  <si>
    <t>eGFR ml/min/1.73 m2)</t>
  </si>
  <si>
    <t>Absolute Risk Reduction</t>
  </si>
  <si>
    <t>Kreatinin</t>
  </si>
  <si>
    <t>PCSK9 Cost / Benefit Sfr.</t>
  </si>
  <si>
    <t>NNT</t>
  </si>
  <si>
    <t>Arterial Age</t>
  </si>
  <si>
    <t>Statin Cost / Benefit Sfr.</t>
  </si>
  <si>
    <t>10 year procedural and societal costs of one AMI/STROKE/UAP/REVASC (each weighted equally)</t>
  </si>
  <si>
    <t>Aorta</t>
  </si>
  <si>
    <t>Statin + Ezet Cost / Benefit Sfr.</t>
  </si>
  <si>
    <t>Event Risk in 10 years</t>
  </si>
  <si>
    <t>Stroke Volume</t>
  </si>
  <si>
    <t>Statin cost in CHF per day</t>
  </si>
  <si>
    <t>Heart Rate</t>
  </si>
  <si>
    <t>PCSK9 cost per day</t>
  </si>
  <si>
    <t>Lungenalter</t>
  </si>
  <si>
    <t>10 year net cost of statin and/or PCKS9 inhibitor/Eze per person</t>
  </si>
  <si>
    <t>BMI</t>
  </si>
  <si>
    <t>Event Post TPA Risk % 10 years with arterial age</t>
  </si>
  <si>
    <t>10 year lipid lowering monitoring and side effect cost 1000 per year and patient</t>
  </si>
  <si>
    <t>Aspirin ?</t>
  </si>
  <si>
    <t>Additional clinical data</t>
  </si>
  <si>
    <t>Mann</t>
  </si>
  <si>
    <t>Statin+PCSK9</t>
  </si>
  <si>
    <t>PCSK9</t>
  </si>
  <si>
    <t>Statin</t>
  </si>
  <si>
    <t>Statin+Eze</t>
  </si>
  <si>
    <t>Risk in 10 years</t>
  </si>
  <si>
    <t>Cardiac Output</t>
  </si>
  <si>
    <t>Frau</t>
  </si>
  <si>
    <t>Cost calculation based on NNT to avoid vascular event in CHF</t>
  </si>
  <si>
    <t>Aspirin AAR</t>
  </si>
  <si>
    <t>Body surface area</t>
  </si>
  <si>
    <t>Return on Investment</t>
  </si>
  <si>
    <t>NNT 10 years</t>
  </si>
  <si>
    <t>Aortic z-score</t>
  </si>
  <si>
    <t>www.docfind.ch/GPRisx.xlsx</t>
  </si>
  <si>
    <t>DILI hepatotoxicity (meist Antibiotika, aber auch Diclofenac)</t>
  </si>
  <si>
    <t>NNH 10 years</t>
  </si>
  <si>
    <t>Aortic percentile</t>
  </si>
  <si>
    <t>GPT</t>
  </si>
  <si>
    <t>Total Intervention cost</t>
  </si>
  <si>
    <t>AAR to harm</t>
  </si>
  <si>
    <t>Aortic average normal</t>
  </si>
  <si>
    <t xml:space="preserve">GPT ULN </t>
  </si>
  <si>
    <t>AAR overall</t>
  </si>
  <si>
    <t>Aortic Rupture Risk per year %</t>
  </si>
  <si>
    <t>Alk P</t>
  </si>
  <si>
    <t>NNT-NNH</t>
  </si>
  <si>
    <t>Cockroft ml/min</t>
  </si>
  <si>
    <t>Alk P ULN</t>
  </si>
  <si>
    <t>Soll</t>
  </si>
  <si>
    <t>R-Ratio</t>
  </si>
  <si>
    <t>Leistungsalter</t>
  </si>
  <si>
    <t>R-Ratio &gt; 5</t>
  </si>
  <si>
    <t>hepatozellulär / hepatitisch</t>
  </si>
  <si>
    <t>calculations based upon</t>
  </si>
  <si>
    <t>Differenz Leistungsalter</t>
  </si>
  <si>
    <t>R-Ratio &lt; 2</t>
  </si>
  <si>
    <t>cholestatisch</t>
  </si>
  <si>
    <t>Association of Aspirin Use for Primary Prevention With Cardiovascular Events and Bleeding Events: A Systematic Review and Meta-analysis</t>
  </si>
  <si>
    <t>Achievable Risk</t>
  </si>
  <si>
    <t>R-Ratio 2-5</t>
  </si>
  <si>
    <t>gemischt</t>
  </si>
  <si>
    <t>https://www.gastrojournal.org/article/S0016-5085(08)01674-0/abstract</t>
  </si>
  <si>
    <t>https://www.zora.uzh.ch/id/eprint/75383/1/hepatotox_vigiflash.pdf</t>
  </si>
  <si>
    <t>5 years</t>
  </si>
  <si>
    <t>cm</t>
  </si>
  <si>
    <t>asc ao rupt risk</t>
  </si>
  <si>
    <t>Total Cost</t>
  </si>
  <si>
    <t>Cost Benefit</t>
  </si>
  <si>
    <t xml:space="preserve">Total Cost minus prevented costs </t>
  </si>
  <si>
    <t>Cost ratio (costs / costs per event)</t>
  </si>
  <si>
    <t>Cost Efficiency Ratio CER with Atorvastatin as the comparator</t>
  </si>
  <si>
    <t>Primary Prevention based on CVD Framingham</t>
  </si>
  <si>
    <t>Expected Add On effects with RRR of 21% per 1 mmol/l LDL reduction and 60% LDL reduction for PSCK9-I and 20% LDL reduction of Ezetimibe and 35% LDL reduction with high dose statin</t>
  </si>
  <si>
    <t>Expected relativ risk reduction in percent with high dose Statin alone = 46% of a patients LDL cholesterol</t>
  </si>
  <si>
    <t>Tagespreise</t>
  </si>
  <si>
    <t>Inegy</t>
  </si>
  <si>
    <t>Simvasin 80 mg teilbar</t>
  </si>
  <si>
    <t>Ezetrol</t>
  </si>
  <si>
    <t>Ezetrol plus Simvasin 80 teilbar</t>
  </si>
  <si>
    <t>Inegy ist gleich teuer wie</t>
  </si>
  <si>
    <t>Ezetrol + generic simvastatin!</t>
  </si>
  <si>
    <t>Stroke / AMI relation</t>
  </si>
  <si>
    <t>AMI=1</t>
  </si>
  <si>
    <t>STROKE=0.375</t>
  </si>
  <si>
    <t>SUM=1.375</t>
  </si>
  <si>
    <t>Jardiance</t>
  </si>
  <si>
    <t>Arzt 1</t>
  </si>
  <si>
    <t>Vergleichsgruppe</t>
  </si>
  <si>
    <t>Kosten</t>
  </si>
  <si>
    <t>Diabetiker</t>
  </si>
  <si>
    <t>Kosten pro Jahr</t>
  </si>
  <si>
    <t>Budget</t>
  </si>
  <si>
    <t>Geld</t>
  </si>
  <si>
    <t>Ausgaben</t>
  </si>
  <si>
    <t>index</t>
  </si>
  <si>
    <t>Regressforderung</t>
  </si>
  <si>
    <t>Kreatinin Clearance ml/min Cockcroft</t>
  </si>
  <si>
    <t>patient LDL</t>
  </si>
  <si>
    <t>Risk</t>
  </si>
  <si>
    <t>Expected patient LDL with treatment</t>
  </si>
  <si>
    <t>M</t>
  </si>
  <si>
    <t>N</t>
  </si>
  <si>
    <t>Download: www.docfind.ch/GPRisk.xlsx</t>
  </si>
  <si>
    <t>10 / 30 Year Framingham Primary Prevention Risk for CVD</t>
  </si>
  <si>
    <t>Enter the Data in yellow fields only</t>
  </si>
  <si>
    <t>Design: www.varifo.ch</t>
  </si>
  <si>
    <t>Age (CA)</t>
  </si>
  <si>
    <t>F</t>
  </si>
  <si>
    <t>Blood Pressure (BP)</t>
  </si>
  <si>
    <t>STROKE; TIA  (J/N)</t>
  </si>
  <si>
    <t>ESC CVD (%)</t>
  </si>
  <si>
    <t>10 year NNT with LDL reduction by 35% =</t>
  </si>
  <si>
    <t>Includes arterial age (AA) as an option</t>
  </si>
  <si>
    <t>Arterial Age in years (enter arterial age in yellow field to the right)</t>
  </si>
  <si>
    <t>optional</t>
  </si>
  <si>
    <t xml:space="preserve">Risk with arterial  age: </t>
  </si>
  <si>
    <t xml:space="preserve">10-year CVD FRAM + TPA in % </t>
  </si>
  <si>
    <t xml:space="preserve">if background is greeen: </t>
  </si>
  <si>
    <t>CA = chronological age input</t>
  </si>
  <si>
    <t>AGLA = FRAM CVD x 0.6 x 0.7</t>
  </si>
  <si>
    <t>intervention is cost efficient</t>
  </si>
  <si>
    <t>AA = arterial age input based on TPA of your patient</t>
  </si>
  <si>
    <t>Expected Effect of double dose statin or additive ezetrol  in your patient</t>
  </si>
  <si>
    <t>References</t>
  </si>
  <si>
    <t>Atorvastatin actual daily dosage in mg</t>
  </si>
  <si>
    <t>www.smw.ch/content/smw-2014-13967/</t>
  </si>
  <si>
    <t>Rosuvastatin actual daily dosage in mg</t>
  </si>
  <si>
    <t xml:space="preserve">http://www.docfind.ch/varifocostmodel.pdf  </t>
  </si>
  <si>
    <t>Expected LDL with double dose Atorvastatin</t>
  </si>
  <si>
    <t>http://cpr.sagepub.com/content/23/7/744</t>
  </si>
  <si>
    <t>Expected LDL with double dose Rosuvstatin</t>
  </si>
  <si>
    <t>Expected LDL with PCSK9-I (add on to current stat)</t>
  </si>
  <si>
    <t>Expected LDL with Ezetrol (add on to current statin)</t>
  </si>
  <si>
    <t>Your Risk</t>
  </si>
  <si>
    <t>Full 30 YEAR CVD</t>
  </si>
  <si>
    <t>Optimal</t>
  </si>
  <si>
    <t>Normal</t>
  </si>
  <si>
    <t>Reference:</t>
  </si>
  <si>
    <t>www.ncbi.nlm.nih.gov/pubmed/23674398</t>
  </si>
  <si>
    <t>Hard 30 YEAR CVD</t>
  </si>
  <si>
    <t xml:space="preserve">Aktuelles LDL Cholesterin </t>
  </si>
  <si>
    <t>Erwartetes LDL Cholesterin unter Therapie</t>
  </si>
  <si>
    <t>Hard CVD: coronary death, myocardial infarction, fatal or non-fatal stroke</t>
  </si>
  <si>
    <t>Crestor 5 mg</t>
  </si>
  <si>
    <t xml:space="preserve">Full CVD: hard CVD or coronary insufficiency, angina pectoris, transient ischemic attack, </t>
  </si>
  <si>
    <t xml:space="preserve">Crestor 10 mg </t>
  </si>
  <si>
    <t>intermittent claudication or congestive heart failure</t>
  </si>
  <si>
    <t>Crestor 20 mg</t>
  </si>
  <si>
    <t>Crestor 40 mg</t>
  </si>
  <si>
    <t>Atorvastatin 10 mg</t>
  </si>
  <si>
    <t>Atorvastatin 20 mg</t>
  </si>
  <si>
    <t>Atorvastatin 40 mg</t>
  </si>
  <si>
    <t>Atorvastatin 80 mg</t>
  </si>
  <si>
    <t>Rosuva mg</t>
  </si>
  <si>
    <t>LDL reduction %</t>
  </si>
  <si>
    <t>Atorva mg</t>
  </si>
  <si>
    <t>Atorva</t>
  </si>
  <si>
    <t>Rosuva</t>
  </si>
  <si>
    <t>Actual</t>
  </si>
  <si>
    <t>Previous</t>
  </si>
  <si>
    <t>Patient LDL</t>
  </si>
  <si>
    <t>The Calculator</t>
  </si>
  <si>
    <r>
      <t>Enter new numbers in</t>
    </r>
    <r>
      <rPr>
        <b/>
        <sz val="16"/>
        <color rgb="FFFF0000"/>
        <rFont val="Calibri"/>
        <family val="2"/>
        <scheme val="minor"/>
      </rPr>
      <t xml:space="preserve"> yellow fields only.</t>
    </r>
    <r>
      <rPr>
        <b/>
        <sz val="16"/>
        <color theme="1"/>
        <rFont val="Calibri"/>
        <family val="2"/>
        <scheme val="minor"/>
      </rPr>
      <t xml:space="preserve"> </t>
    </r>
  </si>
  <si>
    <t>QALY Model: Swiss Medical Board extended to 10 years</t>
  </si>
  <si>
    <t>PEP Model: per avoided event, 200'000 Sfr are saved, therefore, 10 year treatment cost is 200'000 to calculate ideal price.</t>
  </si>
  <si>
    <t xml:space="preserve">In case of an event, loss of life quality is 20%. You may change this value here: </t>
  </si>
  <si>
    <t>Read results from blue fields: 1. target of QALY reached or not and 2. acceptable PEP costs/day</t>
  </si>
  <si>
    <t>By changing parameters you produce an immediate sensitivity analysis</t>
  </si>
  <si>
    <t xml:space="preserve">For questions or improvements call ++41 62 212 44 10 or write to info@kardiolab.ch </t>
  </si>
  <si>
    <t xml:space="preserve"> hint:</t>
  </si>
  <si>
    <t xml:space="preserve">Varifo primary care database about conventional risk factors and carotid plaque amounts contain more than 5'500 </t>
  </si>
  <si>
    <t>individual data sets availabe on request for further research.</t>
  </si>
  <si>
    <t>Atorva 40 mg</t>
  </si>
  <si>
    <t>Rosuva 20 mg</t>
  </si>
  <si>
    <t>Ezetimibe 10 mg</t>
  </si>
  <si>
    <t>Evolocumab</t>
  </si>
  <si>
    <t>Alirocumab</t>
  </si>
  <si>
    <t>PEP Model (VARIFO)</t>
  </si>
  <si>
    <t>Cresta</t>
  </si>
  <si>
    <t>Ezetimibe</t>
  </si>
  <si>
    <t>Ezetimib</t>
  </si>
  <si>
    <t>Baseline Risk</t>
  </si>
  <si>
    <t>MSD</t>
  </si>
  <si>
    <t>vary LDL</t>
  </si>
  <si>
    <t>Sandoz</t>
  </si>
  <si>
    <t>not possible with smb</t>
  </si>
  <si>
    <t>RRR</t>
  </si>
  <si>
    <t>Spirig</t>
  </si>
  <si>
    <t>ideal</t>
  </si>
  <si>
    <t>with varifo 3-5 eze ok for intermediate risk</t>
  </si>
  <si>
    <t>LDL reduced</t>
  </si>
  <si>
    <t>Zentiva</t>
  </si>
  <si>
    <t>but when compared to statins</t>
  </si>
  <si>
    <t>LDL achieved</t>
  </si>
  <si>
    <t>0.33 is ok if ldl is 5 and risk is 4</t>
  </si>
  <si>
    <t>Acceptable Cost / d</t>
  </si>
  <si>
    <t>Atozet</t>
  </si>
  <si>
    <t>Atozet ideal cost/d</t>
  </si>
  <si>
    <t>Cost per event</t>
  </si>
  <si>
    <t>Absolute Risk reduction</t>
  </si>
  <si>
    <t>Non Medication Cost in 10 years</t>
  </si>
  <si>
    <t>price has to be adjusted for baseline ldl</t>
  </si>
  <si>
    <t>Total cost in 10 years</t>
  </si>
  <si>
    <t>range of fix price can then be defined</t>
  </si>
  <si>
    <t>Cost per year</t>
  </si>
  <si>
    <t>Calculator (ideal costs per day in CHF)</t>
  </si>
  <si>
    <t>2.5 Rappen pro Tag</t>
  </si>
  <si>
    <t>Cost/d result calculated</t>
  </si>
  <si>
    <t>17.666% Risiko</t>
  </si>
  <si>
    <t>QALY Model (SMB)</t>
  </si>
  <si>
    <t>10 Year Calculations</t>
  </si>
  <si>
    <t>Risk %</t>
  </si>
  <si>
    <t>32.94% Risiko für Preis ok</t>
  </si>
  <si>
    <t>Fatal Risk %</t>
  </si>
  <si>
    <t>Non Fatal Risk %</t>
  </si>
  <si>
    <t>Cost fatal cardiovascular event</t>
  </si>
  <si>
    <t>Medication cost per day</t>
  </si>
  <si>
    <t>7.45 Rappen pro Tag</t>
  </si>
  <si>
    <t>Treatment costs in 10 years x 1000</t>
  </si>
  <si>
    <t>LDL baseline</t>
  </si>
  <si>
    <t>Effective RRR</t>
  </si>
  <si>
    <t>ARR</t>
  </si>
  <si>
    <t>Number at fatal risk</t>
  </si>
  <si>
    <t>Number at nonfatal risk</t>
  </si>
  <si>
    <t>Number at risk</t>
  </si>
  <si>
    <t>Avoidable fatal events/1000</t>
  </si>
  <si>
    <t>Avoidable nonfatal events/1000</t>
  </si>
  <si>
    <t>Avoidable events/1000</t>
  </si>
  <si>
    <t>Effect on fatal  events (QALY)</t>
  </si>
  <si>
    <t>Effect on nonfatal  events (QALY)</t>
  </si>
  <si>
    <t>Effect on events (QALY)</t>
  </si>
  <si>
    <t>Avoidable fatal costs</t>
  </si>
  <si>
    <t>Avoidable nonfatal costs</t>
  </si>
  <si>
    <t>Avoidable costs</t>
  </si>
  <si>
    <t>Avoidable costs per individual</t>
  </si>
  <si>
    <t>Netto Costs</t>
  </si>
  <si>
    <t>Cost per QALY</t>
  </si>
  <si>
    <t xml:space="preserve">Romanens M, Sudano I, Szucs T, Adams A. Medical costs per QALY of statins based on Swiss Medical Board assumptions. Cardiovasc. Med. 2017;17:96–100. </t>
  </si>
  <si>
    <t>Beresniak A, Medina-Lara A, Auray JP, De Wever A, Praet J-C, Tarricone R, et al. Validation of the Underlying Assumptions of the Quality-Adjusted Life-Years Outcome: Results from the ECHOUTCOME European Project. Pharmacoeconomics [Internet]. 2015;33:61–69. Available from: https://www.ncbi.nlm.nih.gov/pubmed/25230587</t>
  </si>
  <si>
    <t xml:space="preserve">Szucs TD, Weiss M, Klaus G. The enigma of value: in search of affordable and accessible health care. Eur. J. Heal. Econ. 2016;18:667–670. </t>
  </si>
  <si>
    <t xml:space="preserve">Fonarow GC, Keech AC, Pedersen TR, Giugliano RP, Sever PS, Lindgren P, et al. Cost-effectiveness of evolocumab therapy for reducing cardiovascular events in patients with atherosclerotic cardiovascular disease. JAMA Cardiol. 2017;2:1069–1078. </t>
  </si>
  <si>
    <t xml:space="preserve">Arrieta A, Hong JC, Khera R, Virani SS, Krumholz HM, Nasir K. Updated Cost-effectiveness Assessments of PCSK9 Inhibitors From the Perspectives of the Health System and Private Payers. JAMA Cardiol. 2017;33139:1369–1374. </t>
  </si>
  <si>
    <t>Romanens M. VARIFO Cardiovascular Risk Calculator [Internet]. Risk Calc. 2017;Available from: www.docfind.ch/GPRisk.xlsx</t>
  </si>
  <si>
    <t>www.kardiolab.ch/MONICA-PROCAM3_RA1.html</t>
  </si>
  <si>
    <t>Gebrauchsanweisung</t>
  </si>
  <si>
    <t>SEX (M/F)</t>
  </si>
  <si>
    <t>BLOOD PRESSURE (SYSTOLIC)</t>
  </si>
  <si>
    <t>EXPECTED LDL WHEN USING</t>
  </si>
  <si>
    <t>Rosuvastatin 5 mg</t>
  </si>
  <si>
    <t xml:space="preserve">Rosuvastatin 10 mg </t>
  </si>
  <si>
    <t>Rosuvastatin 20 mg</t>
  </si>
  <si>
    <t>Rosuvastatin 40 mg</t>
  </si>
  <si>
    <t>NNT Statin (RRR=22% per 1 mmol/l LDL lowering)</t>
  </si>
  <si>
    <t>NNT Statin + Ezetimibe (RRR=22% per 1 mmol/l LDL lowering)</t>
  </si>
  <si>
    <t>RRR FOR STATINS / EZETIMIBE 22%, FOR PCSK9 Inh 16%!</t>
  </si>
  <si>
    <t>LINK TO THE CALIBRATION FACTORS</t>
  </si>
  <si>
    <t>GPT ULN (enter correct value)</t>
  </si>
  <si>
    <t>Alk P ULN (enter correct value)</t>
  </si>
  <si>
    <t>R-Ratio &gt; 5: hepato-cellulary / hepatic</t>
  </si>
  <si>
    <t>R-Ratio &lt; 2: cholostasis</t>
  </si>
  <si>
    <t>R-Ratio 2-5: mixed type</t>
  </si>
  <si>
    <t>BLOOD PRESSURE TREATED (Y/N)</t>
  </si>
  <si>
    <t>WE TAKE NO RESPONSIBILITY FOR ANY USE OF THIS CALCULATOR, IT'S RESULTS OR YOUR DECISIONS</t>
  </si>
  <si>
    <t>WARNING</t>
  </si>
  <si>
    <t>ANY DECISIONS THAT YOU MAKE FOR YOUR PATIENTS LIE ENTIRELY IN YOUR RESPONSABILITY</t>
  </si>
  <si>
    <t>CALIBRATION</t>
  </si>
  <si>
    <t>GPT (enter correct value</t>
  </si>
  <si>
    <t>Alk P (enter correct value)</t>
  </si>
  <si>
    <t>L</t>
  </si>
  <si>
    <t>H</t>
  </si>
  <si>
    <t>LL</t>
  </si>
  <si>
    <t>LM</t>
  </si>
  <si>
    <t>LH</t>
  </si>
  <si>
    <t>ML</t>
  </si>
  <si>
    <t>MM</t>
  </si>
  <si>
    <t>MH</t>
  </si>
  <si>
    <t>HL</t>
  </si>
  <si>
    <t>HM</t>
  </si>
  <si>
    <t>HH</t>
  </si>
  <si>
    <t>Author: Michel Romanens</t>
  </si>
  <si>
    <t>Body Mass Index BMI</t>
  </si>
  <si>
    <t>CAROTID ATHEROSCLEROSIS?  CONSIDER ASPIRIN!</t>
  </si>
  <si>
    <t xml:space="preserve"> or</t>
  </si>
  <si>
    <t>Results: Cost/QALY &lt; 150'000/QALY</t>
  </si>
  <si>
    <t>Results: Ideal Daily Costs PEP Model</t>
  </si>
  <si>
    <t>Results: NNT</t>
  </si>
  <si>
    <t>Expected LDL reduction %</t>
  </si>
  <si>
    <t>Relative Risk Reduction RRR</t>
  </si>
  <si>
    <t>Daily drug price (QALY only) SFr</t>
  </si>
  <si>
    <t>WEIGHT (kg)</t>
  </si>
  <si>
    <t>CURRENT SMOKER (Y/N)</t>
  </si>
  <si>
    <t>DIABETES (Y/N)</t>
  </si>
  <si>
    <t>CHOLESTEROL (mmol/l)</t>
  </si>
  <si>
    <t>KREATININ (µmol/l)</t>
  </si>
  <si>
    <t>Major criterion [M, 1/10] | minor criterion (m, 1/6)</t>
  </si>
  <si>
    <t>ARC HBR | =&gt; count number of #M | #m</t>
  </si>
  <si>
    <t>Renal disease (raw uncapped calculated eGFR)</t>
  </si>
  <si>
    <t>AGE IN YEARS (arterial or chronological)</t>
  </si>
  <si>
    <t>COST EFFICIENCY OF RIVAROXABAN IN SECONDARY PREVENTION BASED UPON  EFFICIENCY IN THE COMPASS STUDY</t>
  </si>
  <si>
    <t>Autor: Michel Romanens has copyright ©</t>
  </si>
  <si>
    <t>10 Year PEP Model (VARIFO)</t>
  </si>
  <si>
    <t>RRR 24.07%</t>
  </si>
  <si>
    <t>RA</t>
  </si>
  <si>
    <t>Control</t>
  </si>
  <si>
    <t>Interpretation</t>
  </si>
  <si>
    <t>Bleeding cost</t>
  </si>
  <si>
    <t>PEP</t>
  </si>
  <si>
    <t>Avoided treatment and social costs are 200'000 in 10 years</t>
  </si>
  <si>
    <t>Days of Treatment</t>
  </si>
  <si>
    <t>MODEL</t>
  </si>
  <si>
    <t>The model allows to change this number as needed.</t>
  </si>
  <si>
    <t>Cost / d</t>
  </si>
  <si>
    <t>Number of treatet</t>
  </si>
  <si>
    <t>Based upon the effect of COMPASS extrapolated to 10 years,</t>
  </si>
  <si>
    <t>Daily Treatment Cost</t>
  </si>
  <si>
    <t>appropriate daily drug costs are calculated</t>
  </si>
  <si>
    <t>Treatment cost</t>
  </si>
  <si>
    <t>Result</t>
  </si>
  <si>
    <t>CHF / day are appropriate</t>
  </si>
  <si>
    <t>Avoided events</t>
  </si>
  <si>
    <t>Non Medication Cost in 10 years, incl. Bleedings</t>
  </si>
  <si>
    <t>QALY</t>
  </si>
  <si>
    <t>Swiss Medical Board Model published 2013 on statins</t>
  </si>
  <si>
    <t>Sum Avoided costs</t>
  </si>
  <si>
    <t xml:space="preserve">adopted for COMPASS effects over 10 years. </t>
  </si>
  <si>
    <t>Difference</t>
  </si>
  <si>
    <t>Quotient</t>
  </si>
  <si>
    <t xml:space="preserve">are appropriate. </t>
  </si>
  <si>
    <t>CHF /QALY are appropriate</t>
  </si>
  <si>
    <t>Summare</t>
  </si>
  <si>
    <t>Daily costs of CHF 2.70 for 2x2.5 mg Rroxaban are ok.</t>
  </si>
  <si>
    <t>10 year QALY Model (SMB)</t>
  </si>
  <si>
    <t>Cost fatal heart attack</t>
  </si>
  <si>
    <t>Confidential Reference</t>
  </si>
  <si>
    <t>Cost non fatal heart attack 10 years</t>
  </si>
  <si>
    <t>https://docfind.ch/PEPSMW.pdf</t>
  </si>
  <si>
    <t>COMPASS Study, NEJM 2017</t>
  </si>
  <si>
    <t xml:space="preserve">RA </t>
  </si>
  <si>
    <t>A</t>
  </si>
  <si>
    <t>23 months</t>
  </si>
  <si>
    <t xml:space="preserve">outcome N </t>
  </si>
  <si>
    <t xml:space="preserve">death cv N </t>
  </si>
  <si>
    <t xml:space="preserve">death non cv N </t>
  </si>
  <si>
    <t xml:space="preserve">all death N </t>
  </si>
  <si>
    <t>outcome %</t>
  </si>
  <si>
    <t>bleeding %</t>
  </si>
  <si>
    <t>deaths %</t>
  </si>
  <si>
    <t>Composite Endpoint</t>
  </si>
  <si>
    <t>CV death</t>
  </si>
  <si>
    <t>AMI</t>
  </si>
  <si>
    <t>Stroke</t>
  </si>
  <si>
    <t>Followup months</t>
  </si>
  <si>
    <t>10 years months</t>
  </si>
  <si>
    <t>10 years</t>
  </si>
  <si>
    <t>10 year risk</t>
  </si>
  <si>
    <t>cost per major bleeding CHF per year</t>
  </si>
  <si>
    <t>ISTH bleedings in 23 months</t>
  </si>
  <si>
    <t>Treated patients in 23 months</t>
  </si>
  <si>
    <t>ISTH excess over 23 months</t>
  </si>
  <si>
    <t>ISTH excess over 23 months per 10'000</t>
  </si>
  <si>
    <t>ISTH excess over 1 year per 10'000</t>
  </si>
  <si>
    <t>ISTH excess per year per 1'000 per year</t>
  </si>
  <si>
    <t>Bleeding cost in 1000 per year</t>
  </si>
  <si>
    <t>Bleeding cost in 1000 in 10 years</t>
  </si>
  <si>
    <t>Bleeding cost per patient in 10 years</t>
  </si>
  <si>
    <t>Compass</t>
  </si>
  <si>
    <t>-</t>
  </si>
  <si>
    <t>Antiphospholidpid-Syndrom (APS)</t>
  </si>
  <si>
    <t>RRR with xarelto vascular 0.24</t>
  </si>
  <si>
    <t>RRR per 1 mmol/l LDL reduction</t>
  </si>
  <si>
    <t>NNT Statin +  PCSK9-Inhibitor (RRR=20% per 1 mmol/l LDL lowering)</t>
  </si>
  <si>
    <t>Primary prevention achievable risk (%) with LDL + Xarelto vascular</t>
  </si>
  <si>
    <t>Secondary prevention achievable risk (%) with LDL + Xarelto vascular</t>
  </si>
  <si>
    <t>LDL with maximal therapy</t>
  </si>
  <si>
    <t>NNT-NNH=</t>
  </si>
  <si>
    <t>RRR with xarelto vascular 0.24 only (no further lipid intervention)</t>
  </si>
  <si>
    <t>Xarelto Vascular</t>
  </si>
  <si>
    <t>LDL + Xarelto vasc.</t>
  </si>
  <si>
    <t>Risk secondary prevention</t>
  </si>
  <si>
    <t>patient LDL reduction in % = 65</t>
  </si>
  <si>
    <t>possible LDL reduction 65% with eze and statin</t>
  </si>
  <si>
    <t>relative risk reduction with 0.22 per 1 mmol/l LDL reduction</t>
  </si>
  <si>
    <t>New risk with LDL intensified therapy</t>
  </si>
  <si>
    <t>New NNT with LDL intensified therapy</t>
  </si>
  <si>
    <t>New patient LDL level</t>
  </si>
  <si>
    <t>New risk with rivaroxaban vascular only</t>
  </si>
  <si>
    <t>New risk with LDL  and Rivaroxaban vascular</t>
  </si>
  <si>
    <t xml:space="preserve">PEP value  </t>
  </si>
  <si>
    <t>Version 11.08.2019</t>
  </si>
  <si>
    <t>Assumptions</t>
  </si>
  <si>
    <t>Fatal heart attack</t>
  </si>
  <si>
    <t>Non-fatal heart attack (factor)</t>
  </si>
  <si>
    <t>Cost of fatal heart attack</t>
  </si>
  <si>
    <t>Cost of non-fatal heart attack (1st year)</t>
  </si>
  <si>
    <t>Cost of non-fatal heart attack (after first 1st year)</t>
  </si>
  <si>
    <t>Duration of observation (years)</t>
  </si>
  <si>
    <t>Effect [(improvement of life) * (quality)]</t>
  </si>
  <si>
    <t>Total cost (per 1000 individuals)</t>
  </si>
  <si>
    <t>Total cost (per individual)</t>
  </si>
  <si>
    <t>Statin and monitoring cost (obersvation years)</t>
  </si>
  <si>
    <t>Avoided healthcare costs</t>
  </si>
  <si>
    <t>cost : efficiency ratio (Cost per QALY)</t>
  </si>
  <si>
    <t>Fatal AMI Risk in % in years</t>
  </si>
  <si>
    <t>Number of individuals</t>
  </si>
  <si>
    <t>Expected fatal heart attacks</t>
  </si>
  <si>
    <t>Expected non-fatal heart attacks</t>
  </si>
  <si>
    <t>Total amount of events (deadly &amp; non-deadly)</t>
  </si>
  <si>
    <t>Avoidable fatal heart attacks</t>
  </si>
  <si>
    <t>Avoidable non-fatal heart attacks</t>
  </si>
  <si>
    <t>Total amount of avoidable events (deadly &amp; non-deadly)</t>
  </si>
  <si>
    <t>Absolute risk</t>
  </si>
  <si>
    <t>Avoidable risk</t>
  </si>
  <si>
    <t>Number needed to treat (NNT)</t>
  </si>
  <si>
    <t>10 Years</t>
  </si>
  <si>
    <t>Drug cost</t>
  </si>
  <si>
    <t>Drug cost per year</t>
  </si>
  <si>
    <t>Drug and monitoring cost (per year)</t>
  </si>
  <si>
    <t>Days</t>
  </si>
  <si>
    <t>Drug cost per day</t>
  </si>
  <si>
    <t xml:space="preserve">Relative RRR per 1 mmol/l </t>
  </si>
  <si>
    <t>LDL reduction with drug in percent</t>
  </si>
  <si>
    <t xml:space="preserve">LDL achieved with drug </t>
  </si>
  <si>
    <t>Monitoring cost per year</t>
  </si>
  <si>
    <t>Drug cost SMB</t>
  </si>
  <si>
    <t>CVD Risk in 10 years</t>
  </si>
  <si>
    <t>Rsik</t>
  </si>
  <si>
    <t>20 years in days</t>
  </si>
  <si>
    <t>Treatment costs in 20 years</t>
  </si>
  <si>
    <t>LDL reduction achievable with drug</t>
  </si>
  <si>
    <t>Bleeding Costs 20 years per patient</t>
  </si>
  <si>
    <t>Drug cost-efficiency over 20 years</t>
  </si>
  <si>
    <t>Duration of Intervention in years</t>
  </si>
  <si>
    <t>Days of Therapy</t>
  </si>
  <si>
    <t xml:space="preserve">Cost non fatal cardiovascular event  </t>
  </si>
  <si>
    <t xml:space="preserve">Monitoring Costs  </t>
  </si>
  <si>
    <t xml:space="preserve">Treatment costs </t>
  </si>
  <si>
    <t>Treatment costs  x 1000</t>
  </si>
  <si>
    <t>SMB</t>
  </si>
  <si>
    <t>Schlander</t>
  </si>
  <si>
    <t>Ezetim 10 mg</t>
  </si>
  <si>
    <t>SMB 5 y</t>
  </si>
  <si>
    <t>SMB 10 y</t>
  </si>
  <si>
    <t>SMB 15 y</t>
  </si>
  <si>
    <t>SMB 20 y</t>
  </si>
  <si>
    <t>SCL 5 y</t>
  </si>
  <si>
    <t>SCL 10 y</t>
  </si>
  <si>
    <t>SCL 15 y</t>
  </si>
  <si>
    <t>SCL 20 y</t>
  </si>
  <si>
    <t>Optional Information</t>
  </si>
  <si>
    <t>Additional Information incl. Bleeding Risk</t>
  </si>
  <si>
    <t>Results Section</t>
  </si>
  <si>
    <t>Cost per QALY for Atorvastatin 40 mg/d in 20 years</t>
  </si>
  <si>
    <t>Cost per QALY for Rosuvastatin 20 mg/d in 20 years</t>
  </si>
  <si>
    <t>Cost per QALY for Ezetimibe 10 mg/d in 20 years</t>
  </si>
  <si>
    <t>Cost per QALY for Evolocumab in 20 years</t>
  </si>
  <si>
    <t>Cost per QALY for Alirocumab in 20 years</t>
  </si>
  <si>
    <t>Cost per QALY for Rivaroxaban vascular in 20 years</t>
  </si>
  <si>
    <t>Examination Date</t>
  </si>
  <si>
    <t>Calibration factor for FRAMINGHAM (normal = 0.7)</t>
  </si>
  <si>
    <t>Y</t>
  </si>
  <si>
    <t>Concordant risk result</t>
  </si>
  <si>
    <t>Discordant risk result, consider risk modifiers: atherosclerosis imaging, hs-CRP, renal function, CVD family history, radiation therapy, ecc.</t>
  </si>
  <si>
    <t>Concordant risk result, usually no additional information required</t>
  </si>
  <si>
    <t>Potential für Risikoreduktion (in %) in der Primärprävention</t>
  </si>
  <si>
    <t xml:space="preserve">Loss of life Quality after event (0-90%, default 20%) </t>
  </si>
  <si>
    <t>#</t>
  </si>
  <si>
    <t>FRAM</t>
  </si>
  <si>
    <t>SCORE</t>
  </si>
  <si>
    <t>abc_TEST.xls</t>
  </si>
  <si>
    <t xml:space="preserve"> Es ist das chronologische ALTER=&gt;</t>
  </si>
  <si>
    <t>Recommendations</t>
  </si>
  <si>
    <t>Further Results</t>
  </si>
  <si>
    <t xml:space="preserve">Risk Results </t>
  </si>
  <si>
    <t>n</t>
  </si>
  <si>
    <t>Secondary Prevention (y/n)</t>
  </si>
  <si>
    <t>SEX (f/m)</t>
  </si>
  <si>
    <t>HEIGHT (cm)</t>
  </si>
  <si>
    <t>BLOOD PRESSURE TREATED (y/n)</t>
  </si>
  <si>
    <t>DIABETES (y/n)</t>
  </si>
  <si>
    <t>CURRENT SMOKER (y/n)</t>
  </si>
  <si>
    <t>PREVIOUS MYOCARDIAL INFARCTION (y/n)</t>
  </si>
  <si>
    <t>PREVIOUS STROKE (y/n)</t>
  </si>
  <si>
    <t>PREVIOUS CABG (y/n)</t>
  </si>
  <si>
    <t>HEART FAILURE (y/n)</t>
  </si>
  <si>
    <t>Cirrhosis with portal hypertension (y/n)</t>
  </si>
  <si>
    <t>Active cancer  with diagnoses in last 12 months (y/n)</t>
  </si>
  <si>
    <t>Low platelet count &lt; 100 x 10^9 (y/n)</t>
  </si>
  <si>
    <t>Stroke, ICH, bAVN (y/1/n)</t>
  </si>
  <si>
    <t>Bleeding diathesis (y/n)</t>
  </si>
  <si>
    <t>Prior bleedung or transfusion (y/1/n)</t>
  </si>
  <si>
    <t>Oral anticoagulation (y/n)</t>
  </si>
  <si>
    <t>NSAIDs, steroids (y/n)</t>
  </si>
  <si>
    <t>Planned surgery on DAPT, recent traum/surgery (y/n)</t>
  </si>
  <si>
    <t>Enter Your Patient Data in the red fields only. The responsability lies in the users hands. This is a beta version. Check for updates regularly, use your pdf printer for handouts</t>
  </si>
  <si>
    <t>Anemia ? (enter Hemoglobin value in g/L)</t>
  </si>
  <si>
    <t>More Results</t>
  </si>
  <si>
    <t xml:space="preserve">The Risk Calculator is designed for primary AND secondary prevention. According to Lipid Guides ESC 2019 SCORE should be used to assess risk in secondary prevention. The TNT study adds modifications to this. </t>
  </si>
  <si>
    <t>Low (L)</t>
  </si>
  <si>
    <t>Moderate (M)</t>
  </si>
  <si>
    <t>High (H)</t>
  </si>
  <si>
    <t>Very High (V)</t>
  </si>
  <si>
    <t>V</t>
  </si>
  <si>
    <t>Risk cutoff</t>
  </si>
  <si>
    <t>When LDL goal not reached, consider plaque imaging (carotid, ev.  CAC Score) in non-high risk individuals defined by SCORE</t>
  </si>
  <si>
    <t>Patient information</t>
  </si>
  <si>
    <t>CVD Risk in Secondary Prevention (TNT Study)</t>
  </si>
  <si>
    <t>Cost-Efficiency reults (modified model of Swiss Medical Board)</t>
  </si>
  <si>
    <t>CV Risk SCORE</t>
  </si>
  <si>
    <t>CV Risk Secondary Prevention</t>
  </si>
  <si>
    <t xml:space="preserve">LDL TREATMENT GOAL </t>
  </si>
  <si>
    <t>CV combined Risk LDL GOAL</t>
  </si>
  <si>
    <t>Risk Category</t>
  </si>
  <si>
    <t xml:space="preserve">Secondary Prevention Risk </t>
  </si>
  <si>
    <t>very high</t>
  </si>
  <si>
    <t>low</t>
  </si>
  <si>
    <t>moderate</t>
  </si>
  <si>
    <t>high</t>
  </si>
  <si>
    <t>Aspirin may be indicated due to atheroslerosis, check bleeding risk</t>
  </si>
  <si>
    <t>Better avoid regular Aspirin in primary care, NNT-NNH &gt; 100</t>
  </si>
  <si>
    <t>Aspirin is appropriate in secondary prevention</t>
  </si>
  <si>
    <t>TPA &amp; CAC available? (0 = NO, everything = YES)</t>
  </si>
  <si>
    <t>TPA | CAC above cutoff (TPA =&gt; 80, CAC &gt;= 100)</t>
  </si>
  <si>
    <t>NNT-NNH cutoff 100</t>
  </si>
  <si>
    <t>High bleeding risk</t>
  </si>
  <si>
    <t>Aspirin may be appropriate, but check bleeding risk</t>
  </si>
  <si>
    <t>Secondary prevention</t>
  </si>
  <si>
    <t>Aspirin may be indicated due to atheroslerosis</t>
  </si>
  <si>
    <t>Potential for risk reduction</t>
  </si>
  <si>
    <t>Daily cost of PCSK9-Inhibitors</t>
  </si>
  <si>
    <t>Relative risk reduction achievable in your patient (%)</t>
  </si>
  <si>
    <t>Risk reduction when Xarelto vascular is indicated (%)</t>
  </si>
  <si>
    <t>Risk reduction when LDL goal is reached (%)</t>
  </si>
  <si>
    <t>FRAMINGHAM risk in your patient when adhering to guides</t>
  </si>
  <si>
    <t xml:space="preserve">https://docfind.ch/AspirinStatinCompass.xlsx </t>
  </si>
  <si>
    <t xml:space="preserve">  </t>
  </si>
  <si>
    <t>4600 Olten</t>
  </si>
  <si>
    <t>Hier Ihre Resultate und die Beurteilung zu Ihren Risiken (in Prozent) für Herzkreislauferkrankungen in den nächsten 10 Jahren</t>
  </si>
  <si>
    <t>Risiko (%) für Herz Kreislauferkrankung in 10 Jahren:</t>
  </si>
  <si>
    <t>Ihre Behandlungsbedürftige Risikofaktoren:</t>
  </si>
  <si>
    <t>Risiko (%) mit optimal behandelten Risikofaktoren</t>
  </si>
  <si>
    <t>Eine Dienstleistung der Stiftung vaskuläres Risiko (Dr. M. Romanens)</t>
  </si>
  <si>
    <t>Gender M/F</t>
  </si>
  <si>
    <t>Calcium Score</t>
  </si>
  <si>
    <t>TPA mm2</t>
  </si>
  <si>
    <t xml:space="preserve">Enter age for calculator </t>
  </si>
  <si>
    <t>Choose Age</t>
  </si>
  <si>
    <t>This is a Betaversion of the risk calculator.                                               This is verson 0026.                                                                                   This version is valid until January 2020, 18:00.                                Up from then, you should download the version 0027, if available.</t>
  </si>
  <si>
    <t>BLOOD PRESSURE SYSTOLIC IN MM HG</t>
  </si>
  <si>
    <t>Your choice is?</t>
  </si>
  <si>
    <t>enter</t>
  </si>
  <si>
    <t>Second step: present risk factors</t>
  </si>
  <si>
    <t>Results</t>
  </si>
  <si>
    <t>FRAMINGHAM Risk in Primary Prevention; 10 year risk in percent</t>
  </si>
  <si>
    <t>SCORE Risk in Primary and Secondary Prevention, 10 year cardiovascular mortality risk in percent</t>
  </si>
  <si>
    <t>CVD Risk in Secondary Prevention (TNT Study), 10 year risk for a second or third event</t>
  </si>
  <si>
    <t>FRAMINGHAM Risk ideal (BP 120, Cholesterol 4.0, HDL 1.5), what could be achieved with ideal risk factors in 10 years</t>
  </si>
  <si>
    <t>Potential für Risikoreduktion (in %) in der Primärprävention (potential for relativ risk reduction)</t>
  </si>
  <si>
    <t>Enter Carotid</t>
  </si>
  <si>
    <t>Enter Coronary</t>
  </si>
  <si>
    <t>age here</t>
  </si>
  <si>
    <t>Dr. med. H. Lanter</t>
  </si>
  <si>
    <t>Allg. Innere Medizin FMH</t>
  </si>
  <si>
    <t>Ringstr. 8</t>
  </si>
  <si>
    <t>Tel.  062 212 80 44</t>
  </si>
  <si>
    <t>Family Name, first Name</t>
  </si>
  <si>
    <t xml:space="preserve">5.  step: Check Bleeding Risk </t>
  </si>
  <si>
    <t>Answer the following questions</t>
  </si>
  <si>
    <t>Percent</t>
  </si>
  <si>
    <t>Cost/QALY</t>
  </si>
  <si>
    <t xml:space="preserve">Personalized Health Technology Assessment </t>
  </si>
  <si>
    <t>Patients with APS have a contraindication for all NOAKs!</t>
  </si>
  <si>
    <t>Aspirin may be appropriate, NNT-NNH&lt;100</t>
  </si>
  <si>
    <t>Arterial Age is</t>
  </si>
  <si>
    <t>Arterial age is</t>
  </si>
  <si>
    <t>CREATININ (µmol/l)</t>
  </si>
  <si>
    <t>Information zu Statinen, welche das Cholesterin im Blut senken:</t>
  </si>
  <si>
    <t>https://statine.ch</t>
  </si>
  <si>
    <t xml:space="preserve">Hier kann der Arzt beliebige Empfehlungen reinschreiben und mit "alt d - r - h" ein pdf erzeugen. Textbeispiel: Bitte nehmen Sie ihre Medikamente regelmässig ein. Bei Problemen bitte Kontaktnahme. </t>
  </si>
  <si>
    <t>Enter arterial age in Field *E7*</t>
  </si>
  <si>
    <t>Alternative: use arterial age</t>
  </si>
  <si>
    <t>Patients with one yes answer or Anemia may have increased bleeing risk</t>
  </si>
  <si>
    <t>For more details refer to</t>
  </si>
  <si>
    <t>https://academic.oup.com/eurheartj/article/40/31/2632/5492739</t>
  </si>
  <si>
    <t>Alternatively use Hase-Bled Risk Score</t>
  </si>
  <si>
    <t>https://www.mdcalc.com/has-bled-score-major-bleeding-risk</t>
  </si>
  <si>
    <t>30+</t>
  </si>
  <si>
    <t>Preview of Sheets 3 and 4</t>
  </si>
  <si>
    <t>Patient</t>
  </si>
  <si>
    <t>First Step: define Patient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</si>
</sst>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0.0"/>
    <numFmt numFmtId="165" formatCode="0.0000000000000000000"/>
    <numFmt numFmtId="166" formatCode="#,##0.0"/>
    <numFmt numFmtId="167" formatCode="0.000"/>
    <numFmt numFmtId="168" formatCode="#,##0.000"/>
    <numFmt numFmtId="169" formatCode="#,##0.0000"/>
    <numFmt numFmtId="170" formatCode="0.0000"/>
    <numFmt numFmtId="171" formatCode="0.00000000"/>
    <numFmt numFmtId="172" formatCode="[$-F800]dddd\,\ mmmm\ dd\,\ yyyy"/>
  </numFmts>
  <fonts count="11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sz val="10"/>
      <name val="Arial"/>
      <family val="2"/>
    </font>
    <font>
      <b/>
      <sz val="22"/>
      <color indexed="10"/>
      <name val="Arial"/>
      <family val="2"/>
    </font>
    <font>
      <b/>
      <sz val="22"/>
      <color indexed="8"/>
      <name val="Arial"/>
      <family val="2"/>
    </font>
    <font>
      <b/>
      <sz val="12"/>
      <color indexed="8"/>
      <name val="Arial"/>
      <family val="2"/>
    </font>
    <font>
      <b/>
      <sz val="11"/>
      <color indexed="9"/>
      <name val="Arial"/>
      <family val="2"/>
    </font>
    <font>
      <sz val="11"/>
      <name val="Arial"/>
      <family val="2"/>
    </font>
    <font>
      <b/>
      <sz val="11"/>
      <color indexed="8"/>
      <name val="Arial"/>
      <family val="2"/>
    </font>
    <font>
      <b/>
      <sz val="12"/>
      <color theme="1"/>
      <name val="Arial"/>
      <family val="2"/>
    </font>
    <font>
      <sz val="12"/>
      <name val="Arial"/>
      <family val="2"/>
    </font>
    <font>
      <b/>
      <sz val="11"/>
      <color indexed="10"/>
      <name val="Arial"/>
      <family val="2"/>
    </font>
    <font>
      <b/>
      <sz val="11"/>
      <color theme="1"/>
      <name val="Arial"/>
      <family val="2"/>
    </font>
    <font>
      <sz val="11"/>
      <color theme="0"/>
      <name val="Arial"/>
      <family val="2"/>
    </font>
    <font>
      <b/>
      <sz val="11"/>
      <color rgb="FFFFFF00"/>
      <name val="Arial"/>
      <family val="2"/>
    </font>
    <font>
      <b/>
      <sz val="11"/>
      <color rgb="FFFF0000"/>
      <name val="Arial"/>
      <family val="2"/>
    </font>
    <font>
      <b/>
      <sz val="12"/>
      <color rgb="FFFFFF00"/>
      <name val="Arial"/>
      <family val="2"/>
    </font>
    <font>
      <b/>
      <sz val="11"/>
      <name val="Arial"/>
      <family val="2"/>
    </font>
    <font>
      <b/>
      <sz val="20"/>
      <color rgb="FF00B050"/>
      <name val="Arial"/>
      <family val="2"/>
    </font>
    <font>
      <sz val="10"/>
      <color theme="0"/>
      <name val="Arial"/>
      <family val="2"/>
    </font>
    <font>
      <b/>
      <sz val="10"/>
      <name val="Arial"/>
      <family val="2"/>
    </font>
    <font>
      <b/>
      <sz val="11"/>
      <color theme="0"/>
      <name val="Arial"/>
      <family val="2"/>
    </font>
    <font>
      <b/>
      <sz val="14"/>
      <name val="Arial"/>
      <family val="2"/>
    </font>
    <font>
      <sz val="10"/>
      <color rgb="FFFF0000"/>
      <name val="Arial"/>
      <family val="2"/>
    </font>
    <font>
      <b/>
      <sz val="10"/>
      <name val="MS Sans Serif"/>
    </font>
    <font>
      <sz val="10"/>
      <color theme="1"/>
      <name val="Arial"/>
      <family val="2"/>
    </font>
    <font>
      <sz val="10"/>
      <color indexed="8"/>
      <name val="Arial"/>
      <family val="2"/>
    </font>
    <font>
      <sz val="11"/>
      <color indexed="10"/>
      <name val="Arial"/>
      <family val="2"/>
    </font>
    <font>
      <b/>
      <sz val="14"/>
      <color indexed="8"/>
      <name val="Arial"/>
      <family val="2"/>
    </font>
    <font>
      <b/>
      <sz val="16"/>
      <color indexed="8"/>
      <name val="Arial"/>
      <family val="2"/>
    </font>
    <font>
      <b/>
      <sz val="11"/>
      <color theme="0"/>
      <name val="Calibri"/>
      <family val="2"/>
      <scheme val="minor"/>
    </font>
    <font>
      <u/>
      <sz val="11"/>
      <color theme="10"/>
      <name val="Calibri"/>
      <family val="2"/>
      <scheme val="minor"/>
    </font>
    <font>
      <b/>
      <sz val="22"/>
      <color indexed="10"/>
      <name val="Calibri"/>
      <family val="2"/>
    </font>
    <font>
      <b/>
      <sz val="16"/>
      <color theme="3" tint="0.39997558519241921"/>
      <name val="Calibri"/>
      <family val="2"/>
    </font>
    <font>
      <b/>
      <sz val="26"/>
      <color indexed="10"/>
      <name val="Calibri"/>
      <family val="2"/>
    </font>
    <font>
      <b/>
      <sz val="28"/>
      <color indexed="10"/>
      <name val="Calibri"/>
      <family val="2"/>
    </font>
    <font>
      <b/>
      <sz val="22"/>
      <color indexed="8"/>
      <name val="Calibri"/>
      <family val="2"/>
    </font>
    <font>
      <b/>
      <sz val="10"/>
      <color theme="0"/>
      <name val="Arial"/>
      <family val="2"/>
    </font>
    <font>
      <b/>
      <sz val="11"/>
      <color indexed="8"/>
      <name val="Calibri"/>
      <family val="2"/>
    </font>
    <font>
      <sz val="11"/>
      <color theme="0"/>
      <name val="Calibri"/>
      <family val="2"/>
    </font>
    <font>
      <b/>
      <sz val="16"/>
      <color indexed="8"/>
      <name val="Calibri"/>
      <family val="2"/>
    </font>
    <font>
      <b/>
      <sz val="11"/>
      <color indexed="10"/>
      <name val="Calibri"/>
      <family val="2"/>
    </font>
    <font>
      <b/>
      <sz val="12"/>
      <color rgb="FFFFFF00"/>
      <name val="Calibri"/>
      <family val="2"/>
    </font>
    <font>
      <b/>
      <sz val="11"/>
      <color rgb="FFFFFF00"/>
      <name val="Calibri"/>
      <family val="2"/>
    </font>
    <font>
      <b/>
      <sz val="18"/>
      <color theme="0"/>
      <name val="Calibri"/>
      <family val="2"/>
    </font>
    <font>
      <b/>
      <sz val="10"/>
      <color rgb="FFFF0000"/>
      <name val="Arial"/>
      <family val="2"/>
    </font>
    <font>
      <b/>
      <sz val="11"/>
      <color rgb="FFFF0000"/>
      <name val="Calibri"/>
      <family val="2"/>
    </font>
    <font>
      <b/>
      <sz val="11"/>
      <name val="Calibri"/>
      <family val="2"/>
    </font>
    <font>
      <b/>
      <sz val="11"/>
      <color theme="0"/>
      <name val="Calibri"/>
      <family val="2"/>
    </font>
    <font>
      <sz val="11"/>
      <color indexed="8"/>
      <name val="Calibri"/>
      <family val="2"/>
    </font>
    <font>
      <sz val="11"/>
      <name val="Calibri"/>
      <family val="2"/>
      <scheme val="minor"/>
    </font>
    <font>
      <b/>
      <sz val="12"/>
      <name val="Arial"/>
      <family val="2"/>
    </font>
    <font>
      <sz val="11"/>
      <color indexed="10"/>
      <name val="Calibri"/>
      <family val="2"/>
    </font>
    <font>
      <b/>
      <sz val="10"/>
      <color indexed="81"/>
      <name val="Tahoma"/>
      <family val="2"/>
    </font>
    <font>
      <sz val="8"/>
      <color indexed="81"/>
      <name val="Tahoma"/>
      <family val="2"/>
    </font>
    <font>
      <b/>
      <sz val="24"/>
      <color theme="1"/>
      <name val="Calibri"/>
      <family val="2"/>
      <scheme val="minor"/>
    </font>
    <font>
      <b/>
      <sz val="16"/>
      <color theme="1"/>
      <name val="Calibri"/>
      <family val="2"/>
      <scheme val="minor"/>
    </font>
    <font>
      <b/>
      <sz val="16"/>
      <color rgb="FFFF0000"/>
      <name val="Calibri"/>
      <family val="2"/>
      <scheme val="minor"/>
    </font>
    <font>
      <sz val="16"/>
      <color theme="1"/>
      <name val="Calibri"/>
      <family val="2"/>
      <scheme val="minor"/>
    </font>
    <font>
      <b/>
      <sz val="18"/>
      <color theme="1"/>
      <name val="Calibri"/>
      <family val="2"/>
      <scheme val="minor"/>
    </font>
    <font>
      <sz val="11"/>
      <color rgb="FF000000"/>
      <name val="Calibri"/>
      <family val="2"/>
    </font>
    <font>
      <b/>
      <sz val="16"/>
      <color rgb="FF000000"/>
      <name val="Calibri"/>
      <family val="2"/>
    </font>
    <font>
      <sz val="14"/>
      <color rgb="FF000000"/>
      <name val="Calibri"/>
      <family val="2"/>
    </font>
    <font>
      <b/>
      <sz val="14"/>
      <color rgb="FF000000"/>
      <name val="Calibri"/>
      <family val="2"/>
    </font>
    <font>
      <b/>
      <sz val="11"/>
      <color rgb="FF000000"/>
      <name val="Calibri"/>
      <family val="2"/>
    </font>
    <font>
      <b/>
      <sz val="14"/>
      <name val="Calibri"/>
      <family val="2"/>
    </font>
    <font>
      <b/>
      <sz val="14"/>
      <color theme="1"/>
      <name val="Calibri"/>
      <family val="2"/>
      <scheme val="minor"/>
    </font>
    <font>
      <b/>
      <sz val="24"/>
      <name val="Calibri"/>
      <family val="2"/>
      <scheme val="minor"/>
    </font>
    <font>
      <sz val="12"/>
      <color rgb="FF44546A"/>
      <name val="Calibri Light"/>
      <family val="2"/>
    </font>
    <font>
      <sz val="12"/>
      <name val="Calibri Light"/>
      <family val="2"/>
    </font>
    <font>
      <b/>
      <sz val="9"/>
      <color indexed="81"/>
      <name val="Segoe UI"/>
      <family val="2"/>
    </font>
    <font>
      <sz val="9"/>
      <color indexed="81"/>
      <name val="Segoe UI"/>
      <family val="2"/>
    </font>
    <font>
      <b/>
      <sz val="14"/>
      <color rgb="FFFF0000"/>
      <name val="Arial"/>
      <family val="2"/>
    </font>
    <font>
      <b/>
      <sz val="18"/>
      <color rgb="FFFF0000"/>
      <name val="Arial"/>
      <family val="2"/>
    </font>
    <font>
      <b/>
      <sz val="14"/>
      <color theme="1"/>
      <name val="Arial"/>
      <family val="2"/>
    </font>
    <font>
      <b/>
      <sz val="18"/>
      <color theme="1"/>
      <name val="Arial"/>
      <family val="2"/>
    </font>
    <font>
      <sz val="11"/>
      <color theme="1"/>
      <name val="Arial"/>
      <family val="2"/>
    </font>
    <font>
      <b/>
      <sz val="28"/>
      <color theme="1"/>
      <name val="Arial"/>
      <family val="2"/>
    </font>
    <font>
      <sz val="14"/>
      <color theme="1"/>
      <name val="Arial"/>
      <family val="2"/>
    </font>
    <font>
      <sz val="14"/>
      <color theme="1"/>
      <name val="Calibri"/>
      <family val="2"/>
      <scheme val="minor"/>
    </font>
    <font>
      <b/>
      <sz val="22"/>
      <color theme="1"/>
      <name val="Arial"/>
      <family val="2"/>
    </font>
    <font>
      <b/>
      <sz val="10"/>
      <color theme="1"/>
      <name val="Arial"/>
      <family val="2"/>
    </font>
    <font>
      <b/>
      <sz val="28"/>
      <color theme="1"/>
      <name val="Calibri"/>
      <family val="2"/>
      <scheme val="minor"/>
    </font>
    <font>
      <b/>
      <sz val="11"/>
      <color rgb="FF000000"/>
      <name val="Calibri"/>
      <family val="2"/>
      <scheme val="minor"/>
    </font>
    <font>
      <sz val="11"/>
      <name val="Calibri"/>
      <family val="2"/>
    </font>
    <font>
      <b/>
      <sz val="14"/>
      <color indexed="81"/>
      <name val="Segoe UI"/>
      <family val="2"/>
    </font>
    <font>
      <b/>
      <sz val="14"/>
      <color theme="0"/>
      <name val="Arial"/>
      <family val="2"/>
    </font>
    <font>
      <sz val="14"/>
      <color theme="0"/>
      <name val="Arial"/>
      <family val="2"/>
    </font>
    <font>
      <b/>
      <sz val="24"/>
      <color theme="1"/>
      <name val="Arial"/>
      <family val="2"/>
    </font>
    <font>
      <sz val="12"/>
      <color theme="1"/>
      <name val="Arial"/>
      <family val="2"/>
    </font>
    <font>
      <b/>
      <sz val="12"/>
      <color theme="0" tint="-4.9989318521683403E-2"/>
      <name val="Arial"/>
      <family val="2"/>
    </font>
    <font>
      <b/>
      <sz val="12"/>
      <color rgb="FFFF0000"/>
      <name val="Arial"/>
      <family val="2"/>
    </font>
    <font>
      <b/>
      <sz val="12"/>
      <color theme="0"/>
      <name val="Arial"/>
      <family val="2"/>
    </font>
    <font>
      <b/>
      <sz val="14"/>
      <color theme="3"/>
      <name val="Arial"/>
      <family val="2"/>
    </font>
    <font>
      <b/>
      <sz val="14"/>
      <color theme="4"/>
      <name val="Arial"/>
      <family val="2"/>
    </font>
    <font>
      <sz val="14"/>
      <name val="Arial"/>
      <family val="2"/>
    </font>
    <font>
      <u/>
      <sz val="16"/>
      <color rgb="FF002060"/>
      <name val="Arial"/>
      <family val="2"/>
    </font>
    <font>
      <sz val="16"/>
      <color rgb="FF002060"/>
      <name val="Arial"/>
      <family val="2"/>
    </font>
    <font>
      <sz val="14"/>
      <color theme="1" tint="0.499984740745262"/>
      <name val="Arial"/>
      <family val="2"/>
    </font>
    <font>
      <b/>
      <sz val="14"/>
      <color theme="3" tint="-0.249977111117893"/>
      <name val="Arial"/>
      <family val="2"/>
    </font>
    <font>
      <sz val="14"/>
      <color theme="3" tint="-0.249977111117893"/>
      <name val="Arial"/>
      <family val="2"/>
    </font>
    <font>
      <sz val="11"/>
      <name val="Microsoft Sans Serif"/>
      <family val="2"/>
    </font>
    <font>
      <b/>
      <sz val="18"/>
      <color rgb="FF0070C0"/>
      <name val="Arial"/>
      <family val="2"/>
    </font>
    <font>
      <sz val="11"/>
      <color theme="0"/>
      <name val="Calibri"/>
      <family val="2"/>
      <scheme val="minor"/>
    </font>
    <font>
      <b/>
      <sz val="20"/>
      <color theme="1"/>
      <name val="Calibri"/>
      <family val="2"/>
      <scheme val="minor"/>
    </font>
    <font>
      <b/>
      <sz val="20"/>
      <color theme="0"/>
      <name val="Calibri"/>
      <family val="2"/>
      <scheme val="minor"/>
    </font>
    <font>
      <b/>
      <sz val="12"/>
      <color theme="1" tint="0.499984740745262"/>
      <name val="Arial"/>
      <family val="2"/>
    </font>
    <font>
      <sz val="11"/>
      <color rgb="FFFF0000"/>
      <name val="Calibri"/>
      <family val="2"/>
      <scheme val="minor"/>
    </font>
    <font>
      <u/>
      <sz val="14"/>
      <color theme="10"/>
      <name val="Arial"/>
      <family val="2"/>
    </font>
    <font>
      <b/>
      <sz val="11"/>
      <color rgb="FFFF0000"/>
      <name val="Calibri"/>
      <family val="2"/>
      <scheme val="minor"/>
    </font>
  </fonts>
  <fills count="4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6"/>
        <bgColor indexed="64"/>
      </patternFill>
    </fill>
    <fill>
      <patternFill patternType="solid">
        <fgColor theme="0" tint="-0.499984740745262"/>
        <bgColor indexed="64"/>
      </patternFill>
    </fill>
    <fill>
      <patternFill patternType="solid">
        <fgColor indexed="2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indexed="51"/>
        <bgColor indexed="64"/>
      </patternFill>
    </fill>
    <fill>
      <patternFill patternType="solid">
        <fgColor theme="1"/>
        <bgColor indexed="64"/>
      </patternFill>
    </fill>
    <fill>
      <patternFill patternType="solid">
        <fgColor rgb="FFEAEAEA"/>
        <bgColor indexed="64"/>
      </patternFill>
    </fill>
    <fill>
      <patternFill patternType="solid">
        <fgColor rgb="FFC00000"/>
        <bgColor indexed="64"/>
      </patternFill>
    </fill>
    <fill>
      <patternFill patternType="solid">
        <fgColor rgb="FFFFFF00"/>
        <bgColor indexed="64"/>
      </patternFill>
    </fill>
    <fill>
      <patternFill patternType="solid">
        <fgColor theme="5" tint="0.39997558519241921"/>
        <bgColor indexed="64"/>
      </patternFill>
    </fill>
    <fill>
      <patternFill patternType="solid">
        <fgColor rgb="FFC2F0CD"/>
        <bgColor indexed="64"/>
      </patternFill>
    </fill>
    <fill>
      <patternFill patternType="solid">
        <fgColor indexed="50"/>
        <bgColor indexed="64"/>
      </patternFill>
    </fill>
    <fill>
      <patternFill patternType="solid">
        <fgColor indexed="42"/>
        <bgColor indexed="64"/>
      </patternFill>
    </fill>
    <fill>
      <patternFill patternType="solid">
        <fgColor indexed="43"/>
        <bgColor indexed="64"/>
      </patternFill>
    </fill>
    <fill>
      <patternFill patternType="solid">
        <fgColor rgb="FF00B050"/>
        <bgColor indexed="64"/>
      </patternFill>
    </fill>
    <fill>
      <patternFill patternType="solid">
        <fgColor rgb="FFC3FDD2"/>
        <bgColor indexed="64"/>
      </patternFill>
    </fill>
    <fill>
      <patternFill patternType="solid">
        <fgColor rgb="FFF7FFAF"/>
        <bgColor indexed="64"/>
      </patternFill>
    </fill>
    <fill>
      <patternFill patternType="solid">
        <fgColor theme="9" tint="0.59999389629810485"/>
        <bgColor indexed="64"/>
      </patternFill>
    </fill>
    <fill>
      <patternFill patternType="solid">
        <fgColor theme="9"/>
        <bgColor indexed="64"/>
      </patternFill>
    </fill>
    <fill>
      <patternFill patternType="solid">
        <fgColor theme="7"/>
        <bgColor indexed="64"/>
      </patternFill>
    </fill>
    <fill>
      <patternFill patternType="solid">
        <fgColor rgb="FFFFFFFF"/>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rgb="FFFF0000"/>
        <bgColor indexed="64"/>
      </patternFill>
    </fill>
    <fill>
      <patternFill patternType="solid">
        <fgColor theme="4"/>
        <bgColor indexed="64"/>
      </patternFill>
    </fill>
    <fill>
      <patternFill patternType="solid">
        <fgColor rgb="FF92D05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thin">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s>
  <cellStyleXfs count="6">
    <xf numFmtId="0" fontId="0" fillId="0" borderId="0"/>
    <xf numFmtId="43" fontId="6" fillId="0" borderId="0" applyFont="0" applyFill="0" applyBorder="0" applyAlignment="0" applyProtection="0"/>
    <xf numFmtId="9" fontId="6" fillId="0" borderId="0" applyFont="0" applyFill="0" applyBorder="0" applyAlignment="0" applyProtection="0"/>
    <xf numFmtId="0" fontId="37" fillId="0" borderId="0" applyNumberFormat="0" applyFill="0" applyBorder="0" applyAlignment="0" applyProtection="0"/>
    <xf numFmtId="0" fontId="8" fillId="0" borderId="0"/>
    <xf numFmtId="9" fontId="8" fillId="0" borderId="0" applyFont="0" applyFill="0" applyBorder="0" applyAlignment="0" applyProtection="0"/>
  </cellStyleXfs>
  <cellXfs count="839">
    <xf numFmtId="0" fontId="0" fillId="0" borderId="0" xfId="0"/>
    <xf numFmtId="0" fontId="8" fillId="2" borderId="0" xfId="0" applyFont="1" applyFill="1" applyAlignment="1">
      <alignment vertical="center"/>
    </xf>
    <xf numFmtId="0" fontId="8" fillId="3" borderId="0" xfId="0" applyFont="1" applyFill="1"/>
    <xf numFmtId="0" fontId="8" fillId="2" borderId="0" xfId="0" applyFont="1" applyFill="1" applyAlignment="1">
      <alignment horizontal="center" vertical="center"/>
    </xf>
    <xf numFmtId="0" fontId="8" fillId="2" borderId="0" xfId="0" applyFont="1" applyFill="1" applyBorder="1" applyAlignment="1">
      <alignment horizontal="center" vertical="center"/>
    </xf>
    <xf numFmtId="0" fontId="8" fillId="2" borderId="1" xfId="0" applyFont="1" applyFill="1" applyBorder="1" applyAlignment="1">
      <alignment vertical="center"/>
    </xf>
    <xf numFmtId="0" fontId="8" fillId="3" borderId="1" xfId="0" applyFont="1" applyFill="1" applyBorder="1"/>
    <xf numFmtId="0" fontId="10" fillId="2" borderId="0" xfId="0" applyFont="1" applyFill="1" applyAlignment="1">
      <alignment vertical="center"/>
    </xf>
    <xf numFmtId="164" fontId="11" fillId="3" borderId="5" xfId="0" applyNumberFormat="1" applyFont="1" applyFill="1" applyBorder="1" applyAlignment="1">
      <alignment horizontal="left" vertical="center"/>
    </xf>
    <xf numFmtId="164" fontId="11" fillId="3" borderId="6" xfId="0" applyNumberFormat="1" applyFont="1" applyFill="1" applyBorder="1" applyAlignment="1">
      <alignment horizontal="center" vertical="center"/>
    </xf>
    <xf numFmtId="0" fontId="12" fillId="3" borderId="7" xfId="0" applyFont="1" applyFill="1" applyBorder="1" applyAlignment="1">
      <alignment horizontal="center" vertical="center"/>
    </xf>
    <xf numFmtId="0" fontId="13" fillId="3" borderId="7" xfId="0" applyFont="1" applyFill="1" applyBorder="1" applyAlignment="1">
      <alignment horizontal="center" vertical="center"/>
    </xf>
    <xf numFmtId="0" fontId="13" fillId="2" borderId="8" xfId="0" applyFont="1" applyFill="1" applyBorder="1" applyAlignment="1">
      <alignment vertical="center"/>
    </xf>
    <xf numFmtId="0" fontId="8" fillId="3" borderId="0" xfId="0" applyFont="1" applyFill="1" applyAlignment="1">
      <alignment vertical="center"/>
    </xf>
    <xf numFmtId="0" fontId="8" fillId="3" borderId="9" xfId="0" applyFont="1" applyFill="1" applyBorder="1" applyAlignment="1">
      <alignment vertical="center"/>
    </xf>
    <xf numFmtId="0" fontId="8" fillId="3" borderId="7" xfId="0" applyFont="1" applyFill="1" applyBorder="1" applyAlignment="1">
      <alignment vertical="center"/>
    </xf>
    <xf numFmtId="0" fontId="8" fillId="3" borderId="7" xfId="0" applyFont="1" applyFill="1" applyBorder="1" applyAlignment="1">
      <alignment horizontal="center" vertical="center"/>
    </xf>
    <xf numFmtId="0" fontId="8" fillId="3" borderId="10" xfId="0" applyFont="1" applyFill="1" applyBorder="1" applyAlignment="1">
      <alignment vertical="center"/>
    </xf>
    <xf numFmtId="0" fontId="14" fillId="2" borderId="0" xfId="0" applyFont="1" applyFill="1" applyAlignment="1">
      <alignment vertical="center" wrapText="1"/>
    </xf>
    <xf numFmtId="1" fontId="11" fillId="3" borderId="11" xfId="0" applyNumberFormat="1" applyFont="1" applyFill="1" applyBorder="1" applyAlignment="1">
      <alignment horizontal="center" vertical="center"/>
    </xf>
    <xf numFmtId="0" fontId="14" fillId="3" borderId="12"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11" fillId="3" borderId="9" xfId="0" applyFont="1" applyFill="1" applyBorder="1" applyAlignment="1">
      <alignment vertical="center"/>
    </xf>
    <xf numFmtId="0" fontId="15" fillId="3" borderId="13" xfId="0" applyFont="1" applyFill="1" applyBorder="1" applyAlignment="1">
      <alignment vertical="center"/>
    </xf>
    <xf numFmtId="1" fontId="15" fillId="3" borderId="14" xfId="0" applyNumberFormat="1" applyFont="1" applyFill="1" applyBorder="1" applyAlignment="1">
      <alignment horizontal="center" vertical="center"/>
    </xf>
    <xf numFmtId="0" fontId="16" fillId="3" borderId="8" xfId="0" applyFont="1" applyFill="1" applyBorder="1" applyAlignment="1">
      <alignment vertical="center"/>
    </xf>
    <xf numFmtId="164" fontId="17" fillId="2" borderId="0" xfId="0" applyNumberFormat="1" applyFont="1" applyFill="1" applyAlignment="1">
      <alignment horizontal="center" vertical="center"/>
    </xf>
    <xf numFmtId="0" fontId="14" fillId="3" borderId="9" xfId="0" applyFont="1" applyFill="1" applyBorder="1" applyAlignment="1">
      <alignment vertical="center"/>
    </xf>
    <xf numFmtId="0" fontId="18" fillId="3" borderId="13" xfId="0" applyFont="1" applyFill="1" applyBorder="1" applyAlignment="1">
      <alignment vertical="center"/>
    </xf>
    <xf numFmtId="1" fontId="18" fillId="3" borderId="13" xfId="0" applyNumberFormat="1" applyFont="1" applyFill="1" applyBorder="1" applyAlignment="1">
      <alignment horizontal="center" vertical="center"/>
    </xf>
    <xf numFmtId="0" fontId="19" fillId="3" borderId="8" xfId="0" applyFont="1" applyFill="1" applyBorder="1" applyAlignment="1">
      <alignment horizontal="center" vertical="center"/>
    </xf>
    <xf numFmtId="0" fontId="11" fillId="3" borderId="11" xfId="0" applyFont="1" applyFill="1" applyBorder="1" applyAlignment="1">
      <alignment vertical="center"/>
    </xf>
    <xf numFmtId="0" fontId="15" fillId="3" borderId="15" xfId="0" applyFont="1" applyFill="1" applyBorder="1" applyAlignment="1">
      <alignment vertical="center"/>
    </xf>
    <xf numFmtId="164" fontId="15" fillId="3" borderId="16" xfId="0" applyNumberFormat="1" applyFont="1" applyFill="1" applyBorder="1" applyAlignment="1">
      <alignment horizontal="center" vertical="center"/>
    </xf>
    <xf numFmtId="0" fontId="16" fillId="3" borderId="8" xfId="0" applyFont="1" applyFill="1" applyBorder="1" applyAlignment="1">
      <alignment horizontal="center" vertical="center"/>
    </xf>
    <xf numFmtId="0" fontId="17" fillId="2" borderId="0" xfId="0" applyFont="1" applyFill="1" applyAlignment="1">
      <alignment horizontal="center" vertical="center"/>
    </xf>
    <xf numFmtId="164" fontId="11" fillId="3" borderId="17" xfId="0" applyNumberFormat="1" applyFont="1" applyFill="1" applyBorder="1" applyAlignment="1">
      <alignment horizontal="left" vertical="center"/>
    </xf>
    <xf numFmtId="0" fontId="14" fillId="3" borderId="11" xfId="0" applyFont="1" applyFill="1" applyBorder="1" applyAlignment="1">
      <alignment vertical="center"/>
    </xf>
    <xf numFmtId="0" fontId="18" fillId="3" borderId="15" xfId="0" applyFont="1" applyFill="1" applyBorder="1" applyAlignment="1">
      <alignment vertical="center"/>
    </xf>
    <xf numFmtId="164" fontId="18" fillId="3" borderId="15" xfId="0" applyNumberFormat="1" applyFont="1" applyFill="1" applyBorder="1" applyAlignment="1">
      <alignment horizontal="center" vertical="center"/>
    </xf>
    <xf numFmtId="1" fontId="15" fillId="3" borderId="16" xfId="0" applyNumberFormat="1" applyFont="1" applyFill="1" applyBorder="1" applyAlignment="1">
      <alignment horizontal="center" vertical="center"/>
    </xf>
    <xf numFmtId="1" fontId="18" fillId="3" borderId="15" xfId="0" applyNumberFormat="1" applyFont="1" applyFill="1" applyBorder="1" applyAlignment="1">
      <alignment horizontal="center" vertical="center"/>
    </xf>
    <xf numFmtId="164" fontId="11" fillId="3" borderId="18" xfId="0" applyNumberFormat="1" applyFont="1" applyFill="1" applyBorder="1" applyAlignment="1">
      <alignment horizontal="left" vertical="center"/>
    </xf>
    <xf numFmtId="0" fontId="18" fillId="3" borderId="19" xfId="0" applyFont="1" applyFill="1" applyBorder="1" applyAlignment="1">
      <alignment vertical="center"/>
    </xf>
    <xf numFmtId="1" fontId="18" fillId="3" borderId="19" xfId="0" applyNumberFormat="1" applyFont="1" applyFill="1" applyBorder="1" applyAlignment="1">
      <alignment horizontal="center" vertical="center"/>
    </xf>
    <xf numFmtId="0" fontId="11" fillId="3" borderId="12" xfId="0" applyFont="1" applyFill="1" applyBorder="1" applyAlignment="1">
      <alignment vertical="center"/>
    </xf>
    <xf numFmtId="0" fontId="15" fillId="3" borderId="19" xfId="0" applyFont="1" applyFill="1" applyBorder="1" applyAlignment="1">
      <alignment vertical="center"/>
    </xf>
    <xf numFmtId="1" fontId="15" fillId="3" borderId="20" xfId="0" applyNumberFormat="1" applyFont="1" applyFill="1" applyBorder="1" applyAlignment="1">
      <alignment horizontal="center" vertical="center"/>
    </xf>
    <xf numFmtId="0" fontId="18" fillId="3" borderId="0" xfId="0" applyFont="1" applyFill="1" applyBorder="1" applyAlignment="1">
      <alignment vertical="center"/>
    </xf>
    <xf numFmtId="0" fontId="18" fillId="3" borderId="0" xfId="0" applyFont="1" applyFill="1" applyBorder="1" applyAlignment="1">
      <alignment horizontal="center" vertical="center"/>
    </xf>
    <xf numFmtId="0" fontId="15" fillId="3" borderId="0" xfId="0" applyFont="1" applyFill="1" applyBorder="1" applyAlignment="1">
      <alignment vertical="center"/>
    </xf>
    <xf numFmtId="0" fontId="15" fillId="3" borderId="0" xfId="0" applyFont="1" applyFill="1" applyBorder="1" applyAlignment="1">
      <alignment horizontal="center" vertical="center"/>
    </xf>
    <xf numFmtId="0" fontId="8" fillId="2" borderId="0" xfId="0" applyFont="1" applyFill="1" applyAlignment="1">
      <alignment horizontal="left" vertical="center"/>
    </xf>
    <xf numFmtId="1" fontId="18" fillId="3" borderId="14" xfId="0" applyNumberFormat="1" applyFont="1" applyFill="1" applyBorder="1" applyAlignment="1">
      <alignment horizontal="center" vertical="center"/>
    </xf>
    <xf numFmtId="2" fontId="17" fillId="2" borderId="0" xfId="0" applyNumberFormat="1" applyFont="1" applyFill="1" applyAlignment="1">
      <alignment horizontal="center" vertical="center"/>
    </xf>
    <xf numFmtId="1" fontId="18" fillId="3" borderId="20" xfId="0" applyNumberFormat="1" applyFont="1" applyFill="1" applyBorder="1" applyAlignment="1">
      <alignment horizontal="center" vertical="center"/>
    </xf>
    <xf numFmtId="3" fontId="17" fillId="2" borderId="0" xfId="0" applyNumberFormat="1" applyFont="1" applyFill="1" applyAlignment="1">
      <alignment horizontal="center" vertical="center"/>
    </xf>
    <xf numFmtId="164" fontId="18" fillId="3" borderId="14" xfId="0" applyNumberFormat="1" applyFont="1" applyFill="1" applyBorder="1" applyAlignment="1">
      <alignment horizontal="center" vertical="center"/>
    </xf>
    <xf numFmtId="0" fontId="14" fillId="2" borderId="0" xfId="0" applyFont="1" applyFill="1" applyAlignment="1">
      <alignment vertical="center"/>
    </xf>
    <xf numFmtId="0" fontId="14" fillId="2" borderId="0" xfId="0" applyFont="1" applyFill="1" applyAlignment="1">
      <alignment horizontal="center" vertical="center"/>
    </xf>
    <xf numFmtId="0" fontId="14" fillId="2" borderId="0" xfId="0" applyFont="1" applyFill="1" applyBorder="1" applyAlignment="1">
      <alignment horizontal="center" vertical="center"/>
    </xf>
    <xf numFmtId="164" fontId="18" fillId="3" borderId="16" xfId="0" applyNumberFormat="1" applyFont="1" applyFill="1" applyBorder="1" applyAlignment="1">
      <alignment horizontal="center" vertical="center"/>
    </xf>
    <xf numFmtId="4" fontId="8" fillId="2" borderId="0" xfId="0" applyNumberFormat="1" applyFont="1" applyFill="1" applyAlignment="1">
      <alignment horizontal="center" vertical="center"/>
    </xf>
    <xf numFmtId="4" fontId="8" fillId="2" borderId="0" xfId="0" applyNumberFormat="1" applyFont="1" applyFill="1" applyBorder="1" applyAlignment="1">
      <alignment horizontal="center" vertical="center"/>
    </xf>
    <xf numFmtId="164" fontId="18" fillId="3" borderId="20" xfId="0" applyNumberFormat="1" applyFont="1" applyFill="1" applyBorder="1" applyAlignment="1">
      <alignment horizontal="center" vertical="center"/>
    </xf>
    <xf numFmtId="164" fontId="11" fillId="3" borderId="9" xfId="0" applyNumberFormat="1" applyFont="1" applyFill="1" applyBorder="1" applyAlignment="1">
      <alignment horizontal="center" vertical="center"/>
    </xf>
    <xf numFmtId="0" fontId="13" fillId="3" borderId="0" xfId="0" applyFont="1" applyFill="1" applyBorder="1" applyAlignment="1">
      <alignment vertical="center"/>
    </xf>
    <xf numFmtId="0" fontId="13" fillId="3" borderId="0" xfId="0" applyFont="1" applyFill="1" applyBorder="1" applyAlignment="1">
      <alignment horizontal="center" vertical="center"/>
    </xf>
    <xf numFmtId="2" fontId="20" fillId="5" borderId="21" xfId="0" applyNumberFormat="1" applyFont="1" applyFill="1" applyBorder="1" applyAlignment="1" applyProtection="1">
      <alignment horizontal="center" vertical="center"/>
      <protection hidden="1"/>
    </xf>
    <xf numFmtId="164" fontId="15" fillId="3" borderId="14" xfId="0" applyNumberFormat="1" applyFont="1" applyFill="1" applyBorder="1" applyAlignment="1">
      <alignment horizontal="center" vertical="center"/>
    </xf>
    <xf numFmtId="0" fontId="20" fillId="5" borderId="11" xfId="0" applyFont="1" applyFill="1" applyBorder="1" applyAlignment="1">
      <alignment vertical="center"/>
    </xf>
    <xf numFmtId="0" fontId="20" fillId="5" borderId="0" xfId="0" applyFont="1" applyFill="1" applyBorder="1" applyAlignment="1">
      <alignment vertical="center"/>
    </xf>
    <xf numFmtId="164" fontId="20" fillId="5" borderId="0" xfId="0" applyNumberFormat="1" applyFont="1" applyFill="1" applyBorder="1" applyAlignment="1" applyProtection="1">
      <alignment horizontal="center" vertical="center"/>
      <protection hidden="1"/>
    </xf>
    <xf numFmtId="164" fontId="20" fillId="5" borderId="22" xfId="0" applyNumberFormat="1" applyFont="1" applyFill="1" applyBorder="1" applyAlignment="1" applyProtection="1">
      <alignment horizontal="center" vertical="center"/>
      <protection hidden="1"/>
    </xf>
    <xf numFmtId="3" fontId="18" fillId="3" borderId="0" xfId="0" applyNumberFormat="1" applyFont="1" applyFill="1" applyBorder="1" applyAlignment="1">
      <alignment horizontal="left" vertical="center"/>
    </xf>
    <xf numFmtId="3" fontId="18" fillId="3" borderId="14" xfId="0" applyNumberFormat="1" applyFont="1" applyFill="1" applyBorder="1" applyAlignment="1">
      <alignment horizontal="center" vertical="center"/>
    </xf>
    <xf numFmtId="3" fontId="18" fillId="3" borderId="16" xfId="0" applyNumberFormat="1" applyFont="1" applyFill="1" applyBorder="1" applyAlignment="1">
      <alignment horizontal="center" vertical="center"/>
    </xf>
    <xf numFmtId="164" fontId="15" fillId="3" borderId="20" xfId="0" applyNumberFormat="1" applyFont="1" applyFill="1" applyBorder="1" applyAlignment="1">
      <alignment horizontal="center" vertical="center"/>
    </xf>
    <xf numFmtId="3" fontId="8" fillId="2" borderId="0" xfId="0" applyNumberFormat="1" applyFont="1" applyFill="1" applyAlignment="1">
      <alignment horizontal="center" vertical="center"/>
    </xf>
    <xf numFmtId="3" fontId="8" fillId="2" borderId="0" xfId="0" applyNumberFormat="1" applyFont="1" applyFill="1" applyBorder="1" applyAlignment="1">
      <alignment horizontal="center" vertical="center"/>
    </xf>
    <xf numFmtId="3" fontId="18" fillId="6" borderId="20" xfId="0" applyNumberFormat="1" applyFont="1" applyFill="1" applyBorder="1" applyAlignment="1">
      <alignment horizontal="center" vertical="center"/>
    </xf>
    <xf numFmtId="4" fontId="14" fillId="3" borderId="22" xfId="0" applyNumberFormat="1" applyFont="1" applyFill="1" applyBorder="1" applyAlignment="1">
      <alignment horizontal="center" vertical="center"/>
    </xf>
    <xf numFmtId="0" fontId="22" fillId="5" borderId="11" xfId="0" applyFont="1" applyFill="1" applyBorder="1" applyAlignment="1">
      <alignment vertical="center"/>
    </xf>
    <xf numFmtId="0" fontId="22" fillId="5" borderId="0" xfId="0" applyFont="1" applyFill="1" applyBorder="1" applyAlignment="1">
      <alignment vertical="center"/>
    </xf>
    <xf numFmtId="9" fontId="22" fillId="5" borderId="0" xfId="2" applyFont="1" applyFill="1" applyBorder="1" applyAlignment="1" applyProtection="1">
      <alignment horizontal="center" vertical="center"/>
      <protection hidden="1"/>
    </xf>
    <xf numFmtId="9" fontId="22" fillId="5" borderId="22" xfId="2" applyFont="1" applyFill="1" applyBorder="1" applyAlignment="1" applyProtection="1">
      <alignment horizontal="center" vertical="center"/>
      <protection hidden="1"/>
    </xf>
    <xf numFmtId="0" fontId="14" fillId="3" borderId="23" xfId="0" applyFont="1" applyFill="1" applyBorder="1" applyAlignment="1">
      <alignment vertical="center"/>
    </xf>
    <xf numFmtId="0" fontId="13" fillId="3" borderId="24" xfId="0" applyFont="1" applyFill="1" applyBorder="1" applyAlignment="1">
      <alignment vertical="center"/>
    </xf>
    <xf numFmtId="0" fontId="23" fillId="3" borderId="8" xfId="0" applyFont="1" applyFill="1" applyBorder="1" applyAlignment="1">
      <alignment horizontal="center" vertical="center"/>
    </xf>
    <xf numFmtId="3" fontId="15" fillId="3" borderId="13" xfId="0" applyNumberFormat="1" applyFont="1" applyFill="1" applyBorder="1" applyAlignment="1">
      <alignment horizontal="left" vertical="center"/>
    </xf>
    <xf numFmtId="3" fontId="15" fillId="3" borderId="14" xfId="0" applyNumberFormat="1" applyFont="1" applyFill="1" applyBorder="1" applyAlignment="1">
      <alignment horizontal="center" vertical="center"/>
    </xf>
    <xf numFmtId="1" fontId="11" fillId="3" borderId="25" xfId="0" applyNumberFormat="1" applyFont="1" applyFill="1" applyBorder="1" applyAlignment="1">
      <alignment horizontal="center" vertical="center"/>
    </xf>
    <xf numFmtId="0" fontId="13" fillId="3" borderId="19" xfId="0" applyFont="1" applyFill="1" applyBorder="1" applyAlignment="1">
      <alignment vertical="center"/>
    </xf>
    <xf numFmtId="0" fontId="23" fillId="3" borderId="26" xfId="0" applyFont="1" applyFill="1" applyBorder="1" applyAlignment="1">
      <alignment horizontal="center" vertical="center"/>
    </xf>
    <xf numFmtId="1" fontId="18" fillId="3" borderId="27" xfId="0" applyNumberFormat="1" applyFont="1" applyFill="1" applyBorder="1" applyAlignment="1">
      <alignment horizontal="center" vertical="center"/>
    </xf>
    <xf numFmtId="3" fontId="15" fillId="3" borderId="15" xfId="0" applyNumberFormat="1" applyFont="1" applyFill="1" applyBorder="1" applyAlignment="1">
      <alignment horizontal="left" vertical="center"/>
    </xf>
    <xf numFmtId="3" fontId="15" fillId="3" borderId="16" xfId="0" applyNumberFormat="1" applyFont="1" applyFill="1" applyBorder="1" applyAlignment="1">
      <alignment horizontal="center" vertical="center"/>
    </xf>
    <xf numFmtId="0" fontId="13" fillId="3" borderId="11" xfId="0" applyFont="1" applyFill="1" applyBorder="1" applyAlignment="1">
      <alignment vertical="center"/>
    </xf>
    <xf numFmtId="0" fontId="13" fillId="3" borderId="8" xfId="0" applyFont="1" applyFill="1" applyBorder="1" applyAlignment="1">
      <alignment vertical="center"/>
    </xf>
    <xf numFmtId="164" fontId="11" fillId="3" borderId="17" xfId="0" applyNumberFormat="1" applyFont="1" applyFill="1" applyBorder="1" applyAlignment="1">
      <alignment horizontal="center" vertical="center"/>
    </xf>
    <xf numFmtId="0" fontId="20" fillId="5" borderId="25" xfId="0" applyFont="1" applyFill="1" applyBorder="1" applyAlignment="1">
      <alignment vertical="center"/>
    </xf>
    <xf numFmtId="0" fontId="20" fillId="5" borderId="28" xfId="0" applyFont="1" applyFill="1" applyBorder="1" applyAlignment="1">
      <alignment vertical="center"/>
    </xf>
    <xf numFmtId="0" fontId="20" fillId="5" borderId="28" xfId="0" applyFont="1" applyFill="1" applyBorder="1" applyAlignment="1">
      <alignment horizontal="center" vertical="center"/>
    </xf>
    <xf numFmtId="164" fontId="21" fillId="3" borderId="1" xfId="0" applyNumberFormat="1" applyFont="1" applyFill="1" applyBorder="1" applyAlignment="1" applyProtection="1">
      <alignment horizontal="center" vertical="center"/>
      <protection hidden="1"/>
    </xf>
    <xf numFmtId="0" fontId="11" fillId="3" borderId="25" xfId="0" applyFont="1" applyFill="1" applyBorder="1" applyAlignment="1">
      <alignment vertical="center"/>
    </xf>
    <xf numFmtId="3" fontId="15" fillId="3" borderId="29" xfId="0" applyNumberFormat="1" applyFont="1" applyFill="1" applyBorder="1" applyAlignment="1">
      <alignment horizontal="left" vertical="center"/>
    </xf>
    <xf numFmtId="3" fontId="15" fillId="3" borderId="30" xfId="0" applyNumberFormat="1" applyFont="1" applyFill="1" applyBorder="1" applyAlignment="1">
      <alignment horizontal="center" vertical="center"/>
    </xf>
    <xf numFmtId="0" fontId="16" fillId="3" borderId="31" xfId="0" applyFont="1" applyFill="1" applyBorder="1" applyAlignment="1">
      <alignment vertical="center"/>
    </xf>
    <xf numFmtId="0" fontId="24" fillId="7" borderId="0" xfId="0" applyFont="1" applyFill="1" applyAlignment="1">
      <alignment vertical="center"/>
    </xf>
    <xf numFmtId="0" fontId="25" fillId="2" borderId="0" xfId="0" applyFont="1" applyFill="1" applyBorder="1" applyAlignment="1">
      <alignment vertical="center"/>
    </xf>
    <xf numFmtId="0" fontId="26" fillId="2" borderId="0" xfId="0" applyFont="1" applyFill="1" applyAlignment="1">
      <alignment vertical="center"/>
    </xf>
    <xf numFmtId="43" fontId="26" fillId="2" borderId="0" xfId="1" applyFont="1" applyFill="1" applyAlignment="1">
      <alignment vertical="center"/>
    </xf>
    <xf numFmtId="164" fontId="14" fillId="3" borderId="36" xfId="0" applyNumberFormat="1" applyFont="1" applyFill="1" applyBorder="1" applyAlignment="1">
      <alignment horizontal="center" vertical="center"/>
    </xf>
    <xf numFmtId="0" fontId="27" fillId="2" borderId="0" xfId="0" applyFont="1" applyFill="1" applyBorder="1" applyAlignment="1">
      <alignment vertical="center"/>
    </xf>
    <xf numFmtId="0" fontId="25" fillId="3" borderId="0" xfId="0" applyFont="1" applyFill="1" applyBorder="1" applyAlignment="1">
      <alignment vertical="center"/>
    </xf>
    <xf numFmtId="3" fontId="17" fillId="2" borderId="0" xfId="0" applyNumberFormat="1" applyFont="1" applyFill="1" applyBorder="1" applyAlignment="1">
      <alignment horizontal="center" vertical="center"/>
    </xf>
    <xf numFmtId="43" fontId="26" fillId="2" borderId="0" xfId="0" applyNumberFormat="1" applyFont="1" applyFill="1" applyAlignment="1">
      <alignment vertical="center"/>
    </xf>
    <xf numFmtId="164" fontId="14" fillId="3" borderId="8" xfId="0" applyNumberFormat="1" applyFont="1" applyFill="1" applyBorder="1" applyAlignment="1">
      <alignment horizontal="center" vertical="center"/>
    </xf>
    <xf numFmtId="4" fontId="17" fillId="2" borderId="0" xfId="0" applyNumberFormat="1" applyFont="1" applyFill="1" applyAlignment="1">
      <alignment horizontal="center" vertical="center"/>
    </xf>
    <xf numFmtId="4" fontId="17" fillId="2" borderId="0" xfId="0" applyNumberFormat="1" applyFont="1" applyFill="1" applyBorder="1" applyAlignment="1">
      <alignment horizontal="center" vertical="center"/>
    </xf>
    <xf numFmtId="0" fontId="28" fillId="2" borderId="0" xfId="0" applyFont="1" applyFill="1" applyAlignment="1">
      <alignment vertical="center"/>
    </xf>
    <xf numFmtId="0" fontId="27" fillId="3" borderId="0" xfId="0" applyFont="1" applyFill="1" applyBorder="1" applyAlignment="1">
      <alignment vertical="center"/>
    </xf>
    <xf numFmtId="0" fontId="25" fillId="2" borderId="0" xfId="0" applyFont="1" applyFill="1" applyAlignment="1">
      <alignment vertical="center"/>
    </xf>
    <xf numFmtId="3" fontId="25" fillId="2" borderId="0" xfId="0" applyNumberFormat="1" applyFont="1" applyFill="1" applyAlignment="1">
      <alignment horizontal="center" vertical="center"/>
    </xf>
    <xf numFmtId="3" fontId="29" fillId="2" borderId="0" xfId="0" applyNumberFormat="1" applyFont="1" applyFill="1" applyAlignment="1">
      <alignment horizontal="center" vertical="center"/>
    </xf>
    <xf numFmtId="2" fontId="26" fillId="2" borderId="0" xfId="0" applyNumberFormat="1" applyFont="1" applyFill="1" applyAlignment="1">
      <alignment vertical="center"/>
    </xf>
    <xf numFmtId="164" fontId="26" fillId="2" borderId="0" xfId="0" applyNumberFormat="1" applyFont="1" applyFill="1" applyAlignment="1">
      <alignment vertical="center"/>
    </xf>
    <xf numFmtId="1" fontId="14" fillId="3" borderId="8" xfId="0" applyNumberFormat="1" applyFont="1" applyFill="1" applyBorder="1" applyAlignment="1">
      <alignment horizontal="center" vertical="center"/>
    </xf>
    <xf numFmtId="164" fontId="14" fillId="3" borderId="11" xfId="0" applyNumberFormat="1" applyFont="1" applyFill="1" applyBorder="1" applyAlignment="1">
      <alignment horizontal="right" vertical="center"/>
    </xf>
    <xf numFmtId="0" fontId="23" fillId="3" borderId="0" xfId="0" applyFont="1" applyFill="1" applyBorder="1" applyAlignment="1">
      <alignment horizontal="right" vertical="center"/>
    </xf>
    <xf numFmtId="0" fontId="30" fillId="0" borderId="0" xfId="0" applyFont="1"/>
    <xf numFmtId="1" fontId="14" fillId="3" borderId="31" xfId="0" applyNumberFormat="1" applyFont="1" applyFill="1" applyBorder="1" applyAlignment="1">
      <alignment horizontal="center" vertical="center"/>
    </xf>
    <xf numFmtId="0" fontId="25" fillId="2" borderId="0" xfId="0" applyFont="1" applyFill="1" applyBorder="1" applyAlignment="1">
      <alignment horizontal="center" vertical="center"/>
    </xf>
    <xf numFmtId="0" fontId="8" fillId="2" borderId="0" xfId="0" applyFont="1" applyFill="1" applyBorder="1" applyAlignment="1">
      <alignmen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31" fillId="3" borderId="0" xfId="0" applyFont="1" applyFill="1" applyAlignment="1">
      <alignment horizontal="center" vertical="center"/>
    </xf>
    <xf numFmtId="0" fontId="31" fillId="3" borderId="0" xfId="0" applyFont="1" applyFill="1"/>
    <xf numFmtId="164" fontId="26" fillId="3" borderId="0" xfId="0" applyNumberFormat="1" applyFont="1" applyFill="1" applyAlignment="1">
      <alignment horizontal="left"/>
    </xf>
    <xf numFmtId="0" fontId="13" fillId="3" borderId="0" xfId="0" applyFont="1" applyFill="1" applyAlignment="1">
      <alignment vertical="center"/>
    </xf>
    <xf numFmtId="1" fontId="13" fillId="3" borderId="0" xfId="0" applyNumberFormat="1" applyFont="1" applyFill="1" applyAlignment="1">
      <alignment horizontal="center" vertical="center"/>
    </xf>
    <xf numFmtId="0" fontId="31" fillId="3" borderId="0" xfId="0" applyFont="1" applyFill="1" applyBorder="1" applyAlignment="1">
      <alignment vertical="center"/>
    </xf>
    <xf numFmtId="0" fontId="31" fillId="3" borderId="0" xfId="0" applyFont="1" applyFill="1" applyBorder="1"/>
    <xf numFmtId="1" fontId="13" fillId="3" borderId="0" xfId="0" applyNumberFormat="1" applyFont="1" applyFill="1" applyBorder="1" applyAlignment="1">
      <alignment horizontal="center" vertical="center"/>
    </xf>
    <xf numFmtId="2" fontId="8" fillId="2" borderId="0" xfId="0" applyNumberFormat="1" applyFont="1" applyFill="1" applyAlignment="1">
      <alignment horizontal="center" vertical="center"/>
    </xf>
    <xf numFmtId="0" fontId="31" fillId="3" borderId="0" xfId="0" applyFont="1" applyFill="1" applyBorder="1" applyAlignment="1">
      <alignment horizontal="center" vertical="center"/>
    </xf>
    <xf numFmtId="164" fontId="32" fillId="3" borderId="0" xfId="0" applyNumberFormat="1" applyFont="1" applyFill="1" applyBorder="1" applyAlignment="1">
      <alignment horizontal="center" vertical="center"/>
    </xf>
    <xf numFmtId="0" fontId="32" fillId="3" borderId="0" xfId="0" applyFont="1" applyFill="1" applyBorder="1" applyAlignment="1">
      <alignment horizontal="center" vertical="center"/>
    </xf>
    <xf numFmtId="2" fontId="8" fillId="2" borderId="0" xfId="0" applyNumberFormat="1" applyFont="1" applyFill="1" applyBorder="1" applyAlignment="1">
      <alignment horizontal="center" vertical="center"/>
    </xf>
    <xf numFmtId="0" fontId="9" fillId="4" borderId="0" xfId="0" applyFont="1" applyFill="1" applyAlignment="1">
      <alignment vertical="center"/>
    </xf>
    <xf numFmtId="0" fontId="8" fillId="3" borderId="0" xfId="0" applyFont="1" applyFill="1" applyBorder="1" applyAlignment="1">
      <alignment horizontal="center" vertical="center"/>
    </xf>
    <xf numFmtId="164" fontId="8" fillId="3" borderId="0" xfId="0" applyNumberFormat="1" applyFont="1" applyFill="1" applyBorder="1" applyAlignment="1">
      <alignment horizontal="center" vertical="center"/>
    </xf>
    <xf numFmtId="0" fontId="8" fillId="3" borderId="0" xfId="0" applyFont="1" applyFill="1" applyBorder="1" applyAlignment="1">
      <alignment vertical="center"/>
    </xf>
    <xf numFmtId="0" fontId="8" fillId="2" borderId="15" xfId="0" applyFont="1" applyFill="1" applyBorder="1" applyAlignment="1">
      <alignment horizontal="center" vertical="center"/>
    </xf>
    <xf numFmtId="0" fontId="8" fillId="3" borderId="0" xfId="0" applyFont="1" applyFill="1" applyBorder="1"/>
    <xf numFmtId="0" fontId="8" fillId="2" borderId="1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3" xfId="0" applyFont="1" applyFill="1" applyBorder="1" applyAlignment="1">
      <alignment horizontal="center" vertical="center"/>
    </xf>
    <xf numFmtId="0" fontId="14" fillId="2" borderId="5" xfId="0" applyFont="1" applyFill="1" applyBorder="1" applyAlignment="1">
      <alignment vertical="center"/>
    </xf>
    <xf numFmtId="0" fontId="8" fillId="2" borderId="5" xfId="0" applyFont="1" applyFill="1" applyBorder="1" applyAlignment="1">
      <alignment vertical="center"/>
    </xf>
    <xf numFmtId="2" fontId="33" fillId="2" borderId="5" xfId="0" applyNumberFormat="1" applyFont="1" applyFill="1" applyBorder="1" applyAlignment="1">
      <alignment vertical="center"/>
    </xf>
    <xf numFmtId="2" fontId="8" fillId="2" borderId="0" xfId="0" applyNumberFormat="1" applyFont="1" applyFill="1" applyBorder="1" applyAlignment="1">
      <alignment vertical="center"/>
    </xf>
    <xf numFmtId="2" fontId="8" fillId="2" borderId="5" xfId="0" applyNumberFormat="1" applyFont="1" applyFill="1" applyBorder="1" applyAlignment="1">
      <alignment vertical="center"/>
    </xf>
    <xf numFmtId="2" fontId="33" fillId="2" borderId="0" xfId="0" applyNumberFormat="1" applyFont="1" applyFill="1" applyBorder="1" applyAlignment="1">
      <alignment vertical="center"/>
    </xf>
    <xf numFmtId="0" fontId="8" fillId="2" borderId="17"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19" xfId="0" applyFont="1" applyFill="1" applyBorder="1" applyAlignment="1">
      <alignment horizontal="center" vertical="center"/>
    </xf>
    <xf numFmtId="0" fontId="0" fillId="3" borderId="0" xfId="0" applyFill="1"/>
    <xf numFmtId="0" fontId="0" fillId="3" borderId="0" xfId="0" applyFill="1" applyAlignment="1">
      <alignment vertical="center"/>
    </xf>
    <xf numFmtId="0" fontId="0" fillId="2" borderId="0" xfId="0" applyFill="1" applyAlignment="1">
      <alignment vertical="center"/>
    </xf>
    <xf numFmtId="0" fontId="0" fillId="2" borderId="0" xfId="0" applyFill="1" applyBorder="1" applyAlignment="1">
      <alignment horizontal="center" vertical="center"/>
    </xf>
    <xf numFmtId="0" fontId="0" fillId="3" borderId="0" xfId="0" applyFill="1" applyBorder="1"/>
    <xf numFmtId="0" fontId="38" fillId="4" borderId="0" xfId="0" applyFont="1" applyFill="1" applyAlignment="1">
      <alignment vertical="center"/>
    </xf>
    <xf numFmtId="0" fontId="0" fillId="2" borderId="0" xfId="0" applyFill="1" applyAlignment="1">
      <alignment horizontal="center" vertical="center"/>
    </xf>
    <xf numFmtId="0" fontId="39" fillId="8" borderId="32" xfId="0" applyFont="1" applyFill="1" applyBorder="1" applyAlignment="1">
      <alignment horizontal="left" vertical="center"/>
    </xf>
    <xf numFmtId="0" fontId="0" fillId="8" borderId="33" xfId="0" applyFill="1" applyBorder="1" applyAlignment="1">
      <alignment vertical="center"/>
    </xf>
    <xf numFmtId="0" fontId="0" fillId="8" borderId="33" xfId="0" applyFill="1" applyBorder="1" applyAlignment="1">
      <alignment horizontal="center" vertical="center"/>
    </xf>
    <xf numFmtId="0" fontId="0" fillId="8" borderId="34" xfId="0" applyFill="1" applyBorder="1"/>
    <xf numFmtId="0" fontId="40" fillId="4" borderId="32" xfId="0" applyFont="1" applyFill="1" applyBorder="1" applyAlignment="1">
      <alignment vertical="center"/>
    </xf>
    <xf numFmtId="0" fontId="38" fillId="4" borderId="33" xfId="0" applyFont="1" applyFill="1" applyBorder="1" applyAlignment="1">
      <alignment vertical="center"/>
    </xf>
    <xf numFmtId="0" fontId="38" fillId="4" borderId="34" xfId="0" applyFont="1" applyFill="1" applyBorder="1" applyAlignment="1">
      <alignment vertical="center"/>
    </xf>
    <xf numFmtId="0" fontId="41" fillId="4" borderId="32" xfId="0" applyFont="1" applyFill="1" applyBorder="1" applyAlignment="1">
      <alignment vertical="center"/>
    </xf>
    <xf numFmtId="0" fontId="42" fillId="2" borderId="0" xfId="0" applyFont="1" applyFill="1" applyAlignment="1">
      <alignment vertical="center"/>
    </xf>
    <xf numFmtId="0" fontId="26" fillId="9" borderId="41" xfId="0" applyFont="1" applyFill="1" applyBorder="1" applyAlignment="1">
      <alignment horizontal="center" vertical="center"/>
    </xf>
    <xf numFmtId="0" fontId="0" fillId="2" borderId="0" xfId="0" applyFill="1" applyBorder="1" applyAlignment="1">
      <alignment vertical="center"/>
    </xf>
    <xf numFmtId="0" fontId="43" fillId="10" borderId="0" xfId="0" applyFont="1" applyFill="1" applyBorder="1" applyAlignment="1">
      <alignment horizontal="left" vertical="center"/>
    </xf>
    <xf numFmtId="0" fontId="43" fillId="10" borderId="8" xfId="0" applyFont="1" applyFill="1" applyBorder="1" applyAlignment="1">
      <alignment vertical="center"/>
    </xf>
    <xf numFmtId="0" fontId="0" fillId="9" borderId="41" xfId="0" applyFill="1" applyBorder="1" applyAlignment="1">
      <alignment vertical="center"/>
    </xf>
    <xf numFmtId="0" fontId="8" fillId="2" borderId="20" xfId="0" applyFont="1" applyFill="1" applyBorder="1" applyAlignment="1">
      <alignment horizontal="right" vertical="center"/>
    </xf>
    <xf numFmtId="0" fontId="44" fillId="2" borderId="0" xfId="0" applyFont="1" applyFill="1" applyAlignment="1">
      <alignment vertical="center" wrapText="1"/>
    </xf>
    <xf numFmtId="0" fontId="44" fillId="11" borderId="9" xfId="0" applyFont="1" applyFill="1" applyBorder="1" applyAlignment="1">
      <alignment horizontal="center" vertical="center"/>
    </xf>
    <xf numFmtId="0" fontId="7" fillId="11" borderId="13" xfId="0" applyFont="1" applyFill="1" applyBorder="1" applyAlignment="1">
      <alignment vertical="center"/>
    </xf>
    <xf numFmtId="0" fontId="7" fillId="9" borderId="13" xfId="0" applyFont="1" applyFill="1" applyBorder="1" applyAlignment="1">
      <alignment horizontal="center" vertical="center"/>
    </xf>
    <xf numFmtId="0" fontId="45" fillId="3" borderId="8" xfId="0" applyFont="1" applyFill="1" applyBorder="1" applyAlignment="1">
      <alignment horizontal="center" vertical="center"/>
    </xf>
    <xf numFmtId="0" fontId="46" fillId="11" borderId="9" xfId="0" applyFont="1" applyFill="1" applyBorder="1" applyAlignment="1">
      <alignment horizontal="center" vertical="center"/>
    </xf>
    <xf numFmtId="0" fontId="7" fillId="9" borderId="14" xfId="0" applyFont="1" applyFill="1" applyBorder="1" applyAlignment="1">
      <alignment horizontal="center" vertical="center"/>
    </xf>
    <xf numFmtId="0" fontId="0" fillId="3" borderId="8" xfId="0" applyFill="1" applyBorder="1" applyAlignment="1">
      <alignment vertical="center"/>
    </xf>
    <xf numFmtId="164" fontId="47" fillId="2" borderId="0" xfId="0" applyNumberFormat="1" applyFont="1" applyFill="1" applyAlignment="1">
      <alignment horizontal="center" vertical="center"/>
    </xf>
    <xf numFmtId="0" fontId="44" fillId="11" borderId="11" xfId="0" applyFont="1" applyFill="1" applyBorder="1" applyAlignment="1">
      <alignment horizontal="center" vertical="center"/>
    </xf>
    <xf numFmtId="0" fontId="7" fillId="11" borderId="15" xfId="0" applyFont="1" applyFill="1" applyBorder="1" applyAlignment="1">
      <alignment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0" fillId="3" borderId="8" xfId="0" applyFill="1" applyBorder="1" applyAlignment="1">
      <alignment horizontal="center" vertical="center"/>
    </xf>
    <xf numFmtId="0" fontId="47" fillId="2" borderId="0" xfId="0" applyFont="1" applyFill="1" applyAlignment="1">
      <alignment horizontal="center" vertical="center"/>
    </xf>
    <xf numFmtId="0" fontId="44" fillId="11" borderId="12" xfId="0" applyFont="1" applyFill="1" applyBorder="1" applyAlignment="1">
      <alignment horizontal="center" vertical="center"/>
    </xf>
    <xf numFmtId="0" fontId="7" fillId="11" borderId="19" xfId="0" applyFont="1" applyFill="1" applyBorder="1" applyAlignment="1">
      <alignment vertical="center"/>
    </xf>
    <xf numFmtId="0" fontId="7" fillId="9" borderId="19" xfId="0" applyFont="1" applyFill="1" applyBorder="1" applyAlignment="1">
      <alignment horizontal="center" vertical="center"/>
    </xf>
    <xf numFmtId="0" fontId="44" fillId="3" borderId="11" xfId="0" applyFont="1" applyFill="1" applyBorder="1" applyAlignment="1">
      <alignment horizontal="center" vertical="center"/>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0" fontId="7" fillId="9" borderId="20" xfId="0" applyFont="1" applyFill="1" applyBorder="1" applyAlignment="1">
      <alignment horizontal="center" vertical="center"/>
    </xf>
    <xf numFmtId="0" fontId="0" fillId="2" borderId="0" xfId="0" applyFill="1" applyAlignment="1">
      <alignment horizontal="left" vertical="center"/>
    </xf>
    <xf numFmtId="2" fontId="47" fillId="2" borderId="0" xfId="0" applyNumberFormat="1" applyFont="1" applyFill="1" applyAlignment="1">
      <alignment horizontal="center" vertical="center"/>
    </xf>
    <xf numFmtId="164" fontId="7" fillId="9" borderId="14" xfId="0" applyNumberFormat="1" applyFont="1" applyFill="1" applyBorder="1" applyAlignment="1">
      <alignment horizontal="center" vertical="center"/>
    </xf>
    <xf numFmtId="3" fontId="47" fillId="2" borderId="0" xfId="0" applyNumberFormat="1" applyFont="1" applyFill="1" applyAlignment="1">
      <alignment horizontal="center" vertical="center"/>
    </xf>
    <xf numFmtId="164" fontId="7" fillId="9" borderId="16" xfId="0" applyNumberFormat="1" applyFont="1" applyFill="1" applyBorder="1" applyAlignment="1">
      <alignment horizontal="center" vertical="center"/>
    </xf>
    <xf numFmtId="0" fontId="44" fillId="2" borderId="0" xfId="0" applyFont="1" applyFill="1" applyAlignment="1">
      <alignment vertical="center"/>
    </xf>
    <xf numFmtId="0" fontId="44" fillId="2" borderId="0" xfId="0" applyFont="1" applyFill="1" applyAlignment="1">
      <alignment horizontal="center" vertical="center"/>
    </xf>
    <xf numFmtId="0" fontId="44" fillId="3" borderId="0" xfId="0" applyFont="1" applyFill="1" applyBorder="1" applyAlignment="1">
      <alignment horizontal="center" vertical="center"/>
    </xf>
    <xf numFmtId="0" fontId="44" fillId="11" borderId="12" xfId="0" applyFont="1" applyFill="1" applyBorder="1" applyAlignment="1">
      <alignment vertical="center"/>
    </xf>
    <xf numFmtId="164" fontId="7" fillId="9" borderId="20" xfId="0" applyNumberFormat="1" applyFont="1" applyFill="1" applyBorder="1" applyAlignment="1">
      <alignment horizontal="center" vertical="center"/>
    </xf>
    <xf numFmtId="4" fontId="0" fillId="2" borderId="0" xfId="0" applyNumberFormat="1" applyFont="1" applyFill="1" applyAlignment="1">
      <alignment horizontal="center" vertical="center"/>
    </xf>
    <xf numFmtId="4" fontId="0" fillId="2" borderId="0" xfId="0" applyNumberFormat="1" applyFont="1" applyFill="1" applyBorder="1" applyAlignment="1">
      <alignment horizontal="center" vertical="center"/>
    </xf>
    <xf numFmtId="0" fontId="44" fillId="3" borderId="11" xfId="0" applyFont="1" applyFill="1" applyBorder="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xf>
    <xf numFmtId="2" fontId="48" fillId="5" borderId="21" xfId="0" applyNumberFormat="1" applyFont="1" applyFill="1" applyBorder="1" applyAlignment="1" applyProtection="1">
      <alignment horizontal="center" vertical="center"/>
      <protection hidden="1"/>
    </xf>
    <xf numFmtId="0" fontId="48" fillId="5" borderId="11" xfId="0" applyFont="1" applyFill="1" applyBorder="1" applyAlignment="1">
      <alignment vertical="center"/>
    </xf>
    <xf numFmtId="0" fontId="49" fillId="5" borderId="0" xfId="0" applyFont="1" applyFill="1" applyBorder="1" applyAlignment="1">
      <alignment vertical="center"/>
    </xf>
    <xf numFmtId="9" fontId="50" fillId="12" borderId="0" xfId="2" applyFont="1" applyFill="1" applyBorder="1" applyAlignment="1" applyProtection="1">
      <alignment horizontal="center" vertical="center"/>
      <protection hidden="1"/>
    </xf>
    <xf numFmtId="9" fontId="50" fillId="12" borderId="8" xfId="2" applyFont="1" applyFill="1" applyBorder="1" applyAlignment="1" applyProtection="1">
      <alignment horizontal="center" vertical="center"/>
      <protection hidden="1"/>
    </xf>
    <xf numFmtId="0" fontId="44" fillId="3" borderId="9" xfId="0" applyFont="1" applyFill="1" applyBorder="1" applyAlignment="1">
      <alignment vertical="center"/>
    </xf>
    <xf numFmtId="3" fontId="7" fillId="3" borderId="7" xfId="0" applyNumberFormat="1" applyFont="1" applyFill="1" applyBorder="1" applyAlignment="1">
      <alignment horizontal="left" vertical="center"/>
    </xf>
    <xf numFmtId="3" fontId="7" fillId="3" borderId="14" xfId="0" applyNumberFormat="1" applyFont="1" applyFill="1" applyBorder="1" applyAlignment="1">
      <alignment horizontal="center" vertical="center"/>
    </xf>
    <xf numFmtId="2" fontId="48" fillId="5" borderId="10" xfId="0" applyNumberFormat="1" applyFont="1" applyFill="1" applyBorder="1" applyAlignment="1" applyProtection="1">
      <alignment horizontal="center" vertical="center"/>
      <protection hidden="1"/>
    </xf>
    <xf numFmtId="3" fontId="7" fillId="3" borderId="0" xfId="0" applyNumberFormat="1" applyFont="1" applyFill="1" applyBorder="1" applyAlignment="1">
      <alignment horizontal="left" vertical="center"/>
    </xf>
    <xf numFmtId="3" fontId="7" fillId="3" borderId="16" xfId="0" applyNumberFormat="1" applyFont="1" applyFill="1" applyBorder="1" applyAlignment="1">
      <alignment horizontal="center" vertical="center"/>
    </xf>
    <xf numFmtId="165" fontId="50" fillId="12" borderId="8" xfId="0" applyNumberFormat="1" applyFont="1" applyFill="1" applyBorder="1" applyAlignment="1" applyProtection="1">
      <alignment horizontal="center" vertical="center"/>
      <protection hidden="1"/>
    </xf>
    <xf numFmtId="3" fontId="7" fillId="6" borderId="16" xfId="0" applyNumberFormat="1" applyFont="1" applyFill="1" applyBorder="1" applyAlignment="1">
      <alignment horizontal="center" vertical="center"/>
    </xf>
    <xf numFmtId="0" fontId="44" fillId="3" borderId="12" xfId="0" applyFont="1" applyFill="1" applyBorder="1" applyAlignment="1">
      <alignment vertical="center"/>
    </xf>
    <xf numFmtId="3" fontId="7" fillId="3" borderId="37" xfId="0" applyNumberFormat="1" applyFont="1" applyFill="1" applyBorder="1" applyAlignment="1">
      <alignment horizontal="left" vertical="center"/>
    </xf>
    <xf numFmtId="3" fontId="7" fillId="6" borderId="20" xfId="0" applyNumberFormat="1" applyFont="1" applyFill="1" applyBorder="1" applyAlignment="1">
      <alignment horizontal="center" vertical="center"/>
    </xf>
    <xf numFmtId="164" fontId="0" fillId="3" borderId="0" xfId="0" applyNumberFormat="1" applyFill="1" applyBorder="1" applyAlignment="1">
      <alignment horizontal="center" vertical="center"/>
    </xf>
    <xf numFmtId="2" fontId="49" fillId="5" borderId="21" xfId="0" applyNumberFormat="1" applyFont="1" applyFill="1" applyBorder="1" applyAlignment="1" applyProtection="1">
      <alignment horizontal="center" vertical="center"/>
      <protection hidden="1"/>
    </xf>
    <xf numFmtId="3" fontId="0" fillId="2" borderId="0" xfId="0" applyNumberFormat="1" applyFont="1" applyFill="1" applyAlignment="1">
      <alignment horizontal="center" vertical="center"/>
    </xf>
    <xf numFmtId="3" fontId="0" fillId="2" borderId="0" xfId="0" applyNumberFormat="1" applyFont="1" applyFill="1" applyBorder="1" applyAlignment="1">
      <alignment horizontal="center" vertical="center"/>
    </xf>
    <xf numFmtId="0" fontId="51" fillId="13" borderId="12" xfId="0" applyFont="1" applyFill="1" applyBorder="1" applyAlignment="1">
      <alignment horizontal="left" vertical="center"/>
    </xf>
    <xf numFmtId="3" fontId="51" fillId="13" borderId="37" xfId="0" applyNumberFormat="1" applyFont="1" applyFill="1" applyBorder="1" applyAlignment="1">
      <alignment horizontal="left" vertical="center"/>
    </xf>
    <xf numFmtId="0" fontId="52" fillId="3" borderId="17" xfId="0" applyFont="1" applyFill="1" applyBorder="1" applyAlignment="1">
      <alignment horizontal="left" vertical="center"/>
    </xf>
    <xf numFmtId="0" fontId="53" fillId="3" borderId="42" xfId="0" applyFont="1" applyFill="1" applyBorder="1" applyAlignment="1">
      <alignment horizontal="center" vertical="center"/>
    </xf>
    <xf numFmtId="0" fontId="49" fillId="5" borderId="11" xfId="0" applyFont="1" applyFill="1" applyBorder="1" applyAlignment="1">
      <alignment vertical="center"/>
    </xf>
    <xf numFmtId="0" fontId="54" fillId="14" borderId="23" xfId="0" applyFont="1" applyFill="1" applyBorder="1" applyAlignment="1">
      <alignment vertical="center"/>
    </xf>
    <xf numFmtId="0" fontId="0" fillId="14" borderId="24" xfId="0" applyFill="1" applyBorder="1" applyAlignment="1">
      <alignment vertical="center"/>
    </xf>
    <xf numFmtId="0" fontId="30" fillId="14" borderId="26" xfId="0" applyFont="1" applyFill="1" applyBorder="1" applyAlignment="1">
      <alignment horizontal="center" vertical="center"/>
    </xf>
    <xf numFmtId="0" fontId="7" fillId="9" borderId="27" xfId="0" applyFont="1" applyFill="1" applyBorder="1" applyAlignment="1">
      <alignment horizontal="center" vertical="center"/>
    </xf>
    <xf numFmtId="0" fontId="44" fillId="3" borderId="43" xfId="0" applyFont="1" applyFill="1" applyBorder="1" applyAlignment="1">
      <alignment vertical="center"/>
    </xf>
    <xf numFmtId="3" fontId="7" fillId="3" borderId="26" xfId="0" applyNumberFormat="1" applyFont="1" applyFill="1" applyBorder="1" applyAlignment="1">
      <alignment horizontal="left" vertical="center"/>
    </xf>
    <xf numFmtId="3" fontId="7" fillId="3" borderId="26" xfId="0" applyNumberFormat="1" applyFont="1" applyFill="1" applyBorder="1" applyAlignment="1">
      <alignment horizontal="center" vertical="center"/>
    </xf>
    <xf numFmtId="0" fontId="48" fillId="5" borderId="0" xfId="0" applyFont="1" applyFill="1" applyBorder="1" applyAlignment="1">
      <alignment vertical="center"/>
    </xf>
    <xf numFmtId="0" fontId="49" fillId="5" borderId="0" xfId="0" applyFont="1" applyFill="1" applyBorder="1" applyAlignment="1">
      <alignment horizontal="center" vertical="center"/>
    </xf>
    <xf numFmtId="9" fontId="50" fillId="12" borderId="8" xfId="2" applyNumberFormat="1" applyFont="1" applyFill="1" applyBorder="1" applyAlignment="1" applyProtection="1">
      <alignment horizontal="center" vertical="center"/>
      <protection hidden="1"/>
    </xf>
    <xf numFmtId="0" fontId="0" fillId="15" borderId="27" xfId="0" applyFill="1" applyBorder="1" applyAlignment="1">
      <alignment horizontal="left" vertical="center"/>
    </xf>
    <xf numFmtId="0" fontId="0" fillId="3" borderId="11" xfId="0" applyFill="1" applyBorder="1" applyAlignment="1">
      <alignment vertical="center"/>
    </xf>
    <xf numFmtId="0" fontId="55" fillId="3" borderId="44" xfId="0" applyFont="1" applyFill="1" applyBorder="1" applyAlignment="1">
      <alignment horizontal="left" vertical="center"/>
    </xf>
    <xf numFmtId="0" fontId="0" fillId="3" borderId="42" xfId="0" applyFill="1" applyBorder="1" applyAlignment="1">
      <alignment vertical="center"/>
    </xf>
    <xf numFmtId="0" fontId="0" fillId="3" borderId="25" xfId="0" applyFill="1" applyBorder="1" applyAlignment="1">
      <alignment vertical="center"/>
    </xf>
    <xf numFmtId="0" fontId="0" fillId="3" borderId="28" xfId="0" applyFill="1" applyBorder="1" applyAlignment="1">
      <alignment vertical="center"/>
    </xf>
    <xf numFmtId="0" fontId="37" fillId="3" borderId="45" xfId="3" applyFill="1" applyBorder="1" applyAlignment="1">
      <alignment horizontal="left" vertical="center"/>
    </xf>
    <xf numFmtId="0" fontId="0" fillId="3" borderId="46" xfId="0" applyFill="1" applyBorder="1" applyAlignment="1">
      <alignment vertical="center"/>
    </xf>
    <xf numFmtId="0" fontId="43" fillId="10" borderId="6" xfId="0" applyFont="1" applyFill="1" applyBorder="1" applyAlignment="1">
      <alignment horizontal="left" vertical="center"/>
    </xf>
    <xf numFmtId="0" fontId="43" fillId="10" borderId="36" xfId="0" applyFont="1" applyFill="1" applyBorder="1" applyAlignment="1">
      <alignment horizontal="left" vertical="center"/>
    </xf>
    <xf numFmtId="0" fontId="43" fillId="10" borderId="38" xfId="0" applyFont="1" applyFill="1" applyBorder="1" applyAlignment="1">
      <alignment horizontal="left" vertical="center"/>
    </xf>
    <xf numFmtId="0" fontId="0" fillId="2" borderId="11" xfId="0" applyFill="1" applyBorder="1" applyAlignment="1">
      <alignment vertical="center"/>
    </xf>
    <xf numFmtId="0" fontId="8" fillId="3" borderId="11" xfId="0" applyFont="1" applyFill="1" applyBorder="1" applyAlignment="1">
      <alignment horizontal="left" vertical="center"/>
    </xf>
    <xf numFmtId="0" fontId="7" fillId="9" borderId="38" xfId="0" applyFont="1" applyFill="1" applyBorder="1" applyAlignment="1">
      <alignment horizontal="center" vertical="center"/>
    </xf>
    <xf numFmtId="0" fontId="37" fillId="3" borderId="0" xfId="3" applyFill="1" applyBorder="1" applyAlignment="1">
      <alignment horizontal="left" vertical="center"/>
    </xf>
    <xf numFmtId="0" fontId="44" fillId="3" borderId="8" xfId="0" applyFont="1" applyFill="1" applyBorder="1" applyAlignment="1">
      <alignment vertical="center"/>
    </xf>
    <xf numFmtId="0" fontId="8" fillId="3" borderId="45" xfId="0" applyFont="1" applyFill="1" applyBorder="1" applyAlignment="1">
      <alignment horizontal="left" vertical="center"/>
    </xf>
    <xf numFmtId="0" fontId="44" fillId="3" borderId="46" xfId="0" applyFont="1" applyFill="1" applyBorder="1" applyAlignment="1">
      <alignment vertical="center"/>
    </xf>
    <xf numFmtId="3" fontId="47" fillId="2" borderId="0" xfId="0" applyNumberFormat="1" applyFont="1" applyFill="1" applyBorder="1" applyAlignment="1">
      <alignment horizontal="center" vertical="center"/>
    </xf>
    <xf numFmtId="0" fontId="7" fillId="9" borderId="39" xfId="0" applyFont="1" applyFill="1" applyBorder="1" applyAlignment="1">
      <alignment horizontal="center" vertical="center"/>
    </xf>
    <xf numFmtId="0" fontId="37" fillId="3" borderId="0" xfId="3" applyFill="1" applyBorder="1" applyAlignment="1">
      <alignment vertical="center"/>
    </xf>
    <xf numFmtId="0" fontId="56" fillId="3" borderId="8" xfId="0" applyFont="1" applyFill="1" applyBorder="1" applyAlignment="1">
      <alignment vertical="center"/>
    </xf>
    <xf numFmtId="4" fontId="47" fillId="2" borderId="0" xfId="0" applyNumberFormat="1" applyFont="1" applyFill="1" applyAlignment="1">
      <alignment horizontal="center" vertical="center"/>
    </xf>
    <xf numFmtId="4" fontId="47" fillId="2" borderId="0" xfId="0" applyNumberFormat="1" applyFont="1" applyFill="1" applyBorder="1" applyAlignment="1">
      <alignment horizontal="center" vertical="center"/>
    </xf>
    <xf numFmtId="164" fontId="36" fillId="12" borderId="39" xfId="0" applyNumberFormat="1" applyFont="1" applyFill="1" applyBorder="1" applyAlignment="1">
      <alignment horizontal="center" vertical="center"/>
    </xf>
    <xf numFmtId="0" fontId="8" fillId="3" borderId="6" xfId="0" applyFont="1" applyFill="1" applyBorder="1" applyAlignment="1">
      <alignment horizontal="left" vertical="center"/>
    </xf>
    <xf numFmtId="0" fontId="0" fillId="3" borderId="36" xfId="0" applyFill="1" applyBorder="1" applyAlignment="1">
      <alignment vertical="center"/>
    </xf>
    <xf numFmtId="3" fontId="0" fillId="2" borderId="0" xfId="0" applyNumberFormat="1" applyFill="1" applyAlignment="1">
      <alignment horizontal="center" vertical="center"/>
    </xf>
    <xf numFmtId="4" fontId="0" fillId="2" borderId="0" xfId="0" applyNumberFormat="1" applyFill="1" applyAlignment="1">
      <alignment horizontal="center" vertical="center"/>
    </xf>
    <xf numFmtId="4" fontId="0" fillId="2" borderId="0" xfId="0" applyNumberFormat="1" applyFill="1" applyBorder="1" applyAlignment="1">
      <alignment horizontal="center" vertical="center"/>
    </xf>
    <xf numFmtId="0" fontId="56" fillId="3" borderId="0" xfId="0" applyFont="1" applyFill="1" applyAlignment="1">
      <alignment vertical="center"/>
    </xf>
    <xf numFmtId="0" fontId="8" fillId="3" borderId="25" xfId="0" applyFont="1" applyFill="1" applyBorder="1" applyAlignment="1">
      <alignment horizontal="left" vertical="center"/>
    </xf>
    <xf numFmtId="164" fontId="36" fillId="12" borderId="40" xfId="0" applyNumberFormat="1" applyFont="1" applyFill="1" applyBorder="1" applyAlignment="1">
      <alignment horizontal="center" vertical="center"/>
    </xf>
    <xf numFmtId="0" fontId="56" fillId="3" borderId="28" xfId="0" applyFont="1" applyFill="1" applyBorder="1" applyAlignment="1">
      <alignment vertical="center"/>
    </xf>
    <xf numFmtId="0" fontId="56" fillId="3" borderId="31" xfId="0" applyFont="1" applyFill="1" applyBorder="1" applyAlignment="1">
      <alignment vertical="center"/>
    </xf>
    <xf numFmtId="0" fontId="0" fillId="2" borderId="6" xfId="0" applyFill="1" applyBorder="1" applyAlignment="1">
      <alignment horizontal="center"/>
    </xf>
    <xf numFmtId="0" fontId="0" fillId="2" borderId="47" xfId="0" applyFill="1" applyBorder="1" applyAlignment="1">
      <alignment horizontal="center"/>
    </xf>
    <xf numFmtId="0" fontId="26" fillId="16" borderId="48" xfId="0" applyFont="1" applyFill="1" applyBorder="1" applyAlignment="1">
      <alignment horizontal="center"/>
    </xf>
    <xf numFmtId="9" fontId="23" fillId="16" borderId="49" xfId="2" applyFont="1" applyFill="1" applyBorder="1" applyAlignment="1">
      <alignment horizontal="center"/>
    </xf>
    <xf numFmtId="3" fontId="0" fillId="2" borderId="0" xfId="0" applyNumberFormat="1" applyFill="1" applyBorder="1" applyAlignment="1">
      <alignment horizontal="center" vertical="center"/>
    </xf>
    <xf numFmtId="0" fontId="28" fillId="2" borderId="11" xfId="0" applyFont="1" applyFill="1" applyBorder="1" applyAlignment="1">
      <alignment horizontal="center"/>
    </xf>
    <xf numFmtId="0" fontId="0" fillId="2" borderId="15" xfId="0" applyFill="1" applyBorder="1" applyAlignment="1">
      <alignment horizontal="center"/>
    </xf>
    <xf numFmtId="0" fontId="26" fillId="17" borderId="26" xfId="0" applyFont="1" applyFill="1" applyBorder="1" applyAlignment="1">
      <alignment horizontal="center"/>
    </xf>
    <xf numFmtId="9" fontId="23" fillId="17" borderId="27" xfId="2" applyFont="1" applyFill="1" applyBorder="1" applyAlignment="1">
      <alignment horizontal="center"/>
    </xf>
    <xf numFmtId="9" fontId="23" fillId="2" borderId="0" xfId="2" applyFont="1" applyFill="1" applyBorder="1" applyAlignment="1">
      <alignment horizontal="center"/>
    </xf>
    <xf numFmtId="0" fontId="0" fillId="2" borderId="31" xfId="0" applyFill="1" applyBorder="1" applyAlignment="1">
      <alignment vertical="center"/>
    </xf>
    <xf numFmtId="0" fontId="0" fillId="2" borderId="8" xfId="0" applyFill="1" applyBorder="1" applyAlignment="1">
      <alignment vertical="center"/>
    </xf>
    <xf numFmtId="0" fontId="16" fillId="2" borderId="25" xfId="0" applyFont="1" applyFill="1" applyBorder="1"/>
    <xf numFmtId="0" fontId="57" fillId="2" borderId="29" xfId="0" applyFont="1" applyFill="1" applyBorder="1" applyAlignment="1">
      <alignment horizontal="center"/>
    </xf>
    <xf numFmtId="0" fontId="26" fillId="18" borderId="50" xfId="0" applyFont="1" applyFill="1" applyBorder="1" applyAlignment="1">
      <alignment horizontal="center"/>
    </xf>
    <xf numFmtId="9" fontId="23" fillId="18" borderId="51" xfId="2" applyFont="1" applyFill="1" applyBorder="1" applyAlignment="1">
      <alignment horizontal="center"/>
    </xf>
    <xf numFmtId="0" fontId="26" fillId="2" borderId="0" xfId="0" applyFont="1" applyFill="1" applyBorder="1" applyAlignment="1">
      <alignment horizontal="right" vertical="center"/>
    </xf>
    <xf numFmtId="2" fontId="0" fillId="2" borderId="0" xfId="0" applyNumberFormat="1" applyFill="1" applyAlignment="1">
      <alignment horizontal="center" vertical="center"/>
    </xf>
    <xf numFmtId="0" fontId="56" fillId="3" borderId="11" xfId="0" applyFont="1" applyFill="1" applyBorder="1" applyAlignment="1">
      <alignment vertical="center"/>
    </xf>
    <xf numFmtId="0" fontId="56" fillId="3" borderId="0" xfId="0" applyFont="1" applyFill="1" applyBorder="1" applyAlignment="1">
      <alignment vertical="center"/>
    </xf>
    <xf numFmtId="2" fontId="0" fillId="2" borderId="0" xfId="0" applyNumberFormat="1" applyFill="1" applyBorder="1" applyAlignment="1">
      <alignment horizontal="center" vertical="center"/>
    </xf>
    <xf numFmtId="0" fontId="16" fillId="2" borderId="6" xfId="0" applyFont="1" applyFill="1" applyBorder="1"/>
    <xf numFmtId="0" fontId="0" fillId="2" borderId="47" xfId="0" applyFill="1" applyBorder="1"/>
    <xf numFmtId="0" fontId="26" fillId="2" borderId="0" xfId="0" applyFont="1" applyFill="1" applyBorder="1" applyAlignment="1">
      <alignment horizontal="center"/>
    </xf>
    <xf numFmtId="0" fontId="56" fillId="3" borderId="25" xfId="0" applyFont="1" applyFill="1" applyBorder="1" applyAlignment="1">
      <alignment vertical="center"/>
    </xf>
    <xf numFmtId="0" fontId="26" fillId="2" borderId="15" xfId="0" applyFont="1" applyFill="1" applyBorder="1" applyAlignment="1">
      <alignment horizontal="center"/>
    </xf>
    <xf numFmtId="0" fontId="0" fillId="3" borderId="0" xfId="0" applyFill="1" applyAlignment="1"/>
    <xf numFmtId="0" fontId="37" fillId="8" borderId="6" xfId="3" applyFill="1" applyBorder="1" applyAlignment="1">
      <alignment vertical="center"/>
    </xf>
    <xf numFmtId="0" fontId="26" fillId="8" borderId="35" xfId="0" applyFont="1" applyFill="1" applyBorder="1"/>
    <xf numFmtId="0" fontId="26" fillId="8" borderId="36" xfId="0" applyFont="1" applyFill="1" applyBorder="1"/>
    <xf numFmtId="0" fontId="0" fillId="2" borderId="25" xfId="0" applyFill="1" applyBorder="1"/>
    <xf numFmtId="0" fontId="0" fillId="2" borderId="29" xfId="0" applyFill="1" applyBorder="1"/>
    <xf numFmtId="0" fontId="0" fillId="2" borderId="0" xfId="0" applyFill="1" applyAlignment="1"/>
    <xf numFmtId="0" fontId="26" fillId="8" borderId="11" xfId="0" applyFont="1" applyFill="1" applyBorder="1"/>
    <xf numFmtId="164" fontId="7" fillId="19" borderId="26" xfId="0" applyNumberFormat="1" applyFont="1" applyFill="1" applyBorder="1" applyAlignment="1">
      <alignment horizontal="center" vertical="center"/>
    </xf>
    <xf numFmtId="0" fontId="26" fillId="8" borderId="0" xfId="0" applyFont="1" applyFill="1" applyBorder="1"/>
    <xf numFmtId="0" fontId="26" fillId="8" borderId="8" xfId="0" applyFont="1" applyFill="1" applyBorder="1"/>
    <xf numFmtId="0" fontId="0" fillId="2" borderId="0" xfId="0" applyFill="1"/>
    <xf numFmtId="0" fontId="26" fillId="2" borderId="6" xfId="0" applyFont="1" applyFill="1" applyBorder="1" applyAlignment="1"/>
    <xf numFmtId="0" fontId="0" fillId="0" borderId="35" xfId="0" applyBorder="1" applyAlignment="1"/>
    <xf numFmtId="0" fontId="0" fillId="3" borderId="35" xfId="0" applyFill="1" applyBorder="1" applyAlignment="1"/>
    <xf numFmtId="0" fontId="0" fillId="3" borderId="36" xfId="0" applyFill="1" applyBorder="1" applyAlignment="1"/>
    <xf numFmtId="0" fontId="26" fillId="8" borderId="43" xfId="0" applyFont="1" applyFill="1" applyBorder="1"/>
    <xf numFmtId="164" fontId="36" fillId="12" borderId="26" xfId="0" applyNumberFormat="1" applyFont="1" applyFill="1" applyBorder="1" applyAlignment="1">
      <alignment horizontal="center" vertical="center"/>
    </xf>
    <xf numFmtId="0" fontId="26" fillId="2" borderId="11" xfId="0" applyFont="1" applyFill="1" applyBorder="1" applyAlignment="1"/>
    <xf numFmtId="0" fontId="0" fillId="2" borderId="0" xfId="0" applyFill="1" applyBorder="1" applyAlignment="1"/>
    <xf numFmtId="0" fontId="0" fillId="2" borderId="8" xfId="0" applyFill="1" applyBorder="1" applyAlignment="1"/>
    <xf numFmtId="0" fontId="26" fillId="3" borderId="25" xfId="0" applyFont="1" applyFill="1" applyBorder="1" applyAlignment="1">
      <alignment vertical="center"/>
    </xf>
    <xf numFmtId="0" fontId="0" fillId="3" borderId="31" xfId="0" applyFill="1" applyBorder="1" applyAlignment="1">
      <alignment vertical="center"/>
    </xf>
    <xf numFmtId="0" fontId="26" fillId="8" borderId="52" xfId="0" applyFont="1" applyFill="1" applyBorder="1"/>
    <xf numFmtId="164" fontId="36" fillId="12" borderId="50" xfId="0" applyNumberFormat="1" applyFont="1" applyFill="1" applyBorder="1" applyAlignment="1">
      <alignment horizontal="center" vertical="center"/>
    </xf>
    <xf numFmtId="0" fontId="26" fillId="8" borderId="28" xfId="0" applyFont="1" applyFill="1" applyBorder="1"/>
    <xf numFmtId="0" fontId="26" fillId="8" borderId="31" xfId="0" applyFont="1" applyFill="1" applyBorder="1"/>
    <xf numFmtId="0" fontId="0" fillId="3" borderId="15" xfId="0" applyFill="1" applyBorder="1" applyAlignment="1">
      <alignment horizontal="center" vertical="center"/>
    </xf>
    <xf numFmtId="0" fontId="0" fillId="3" borderId="7" xfId="0" applyFill="1" applyBorder="1" applyAlignment="1">
      <alignment horizontal="center" vertical="center"/>
    </xf>
    <xf numFmtId="0" fontId="0" fillId="2" borderId="13" xfId="0" applyFill="1" applyBorder="1" applyAlignment="1">
      <alignment horizontal="center" vertical="center"/>
    </xf>
    <xf numFmtId="0" fontId="0" fillId="2" borderId="18" xfId="0" applyFill="1" applyBorder="1" applyAlignment="1">
      <alignment horizontal="center" vertical="center"/>
    </xf>
    <xf numFmtId="0" fontId="44" fillId="3" borderId="5" xfId="0" applyFont="1" applyFill="1" applyBorder="1" applyAlignment="1">
      <alignment vertical="center"/>
    </xf>
    <xf numFmtId="0" fontId="0" fillId="3" borderId="5" xfId="0" applyFill="1" applyBorder="1" applyAlignment="1">
      <alignment vertical="center"/>
    </xf>
    <xf numFmtId="2" fontId="0" fillId="2" borderId="0" xfId="0" applyNumberFormat="1" applyFill="1" applyBorder="1" applyAlignment="1">
      <alignment vertical="center"/>
    </xf>
    <xf numFmtId="2" fontId="58" fillId="2" borderId="5" xfId="0" applyNumberFormat="1" applyFont="1" applyFill="1" applyBorder="1" applyAlignment="1">
      <alignment vertical="center"/>
    </xf>
    <xf numFmtId="2" fontId="58" fillId="2" borderId="0" xfId="0" applyNumberFormat="1" applyFont="1" applyFill="1" applyBorder="1" applyAlignment="1">
      <alignment vertical="center"/>
    </xf>
    <xf numFmtId="2" fontId="0" fillId="2" borderId="5" xfId="0" applyNumberFormat="1" applyFill="1" applyBorder="1" applyAlignment="1">
      <alignment vertical="center"/>
    </xf>
    <xf numFmtId="0" fontId="0" fillId="2" borderId="37" xfId="0" applyFill="1" applyBorder="1" applyAlignment="1">
      <alignment horizontal="center" vertical="center"/>
    </xf>
    <xf numFmtId="0" fontId="0" fillId="2" borderId="19" xfId="0" applyFill="1" applyBorder="1" applyAlignment="1">
      <alignment horizontal="center" vertical="center"/>
    </xf>
    <xf numFmtId="0" fontId="0" fillId="2" borderId="17" xfId="0" applyFill="1" applyBorder="1" applyAlignment="1">
      <alignment horizontal="center" vertical="center"/>
    </xf>
    <xf numFmtId="164" fontId="0" fillId="0" borderId="0" xfId="0" applyNumberFormat="1"/>
    <xf numFmtId="0" fontId="0" fillId="3" borderId="0" xfId="0" applyFill="1" applyBorder="1" applyAlignment="1">
      <alignment vertical="top"/>
    </xf>
    <xf numFmtId="0" fontId="61" fillId="20" borderId="0" xfId="0" applyFont="1" applyFill="1" applyBorder="1" applyAlignment="1">
      <alignment vertical="top"/>
    </xf>
    <xf numFmtId="0" fontId="0" fillId="20" borderId="0" xfId="0" applyFill="1" applyBorder="1" applyAlignment="1">
      <alignment vertical="top"/>
    </xf>
    <xf numFmtId="0" fontId="0" fillId="20" borderId="0" xfId="0" applyFill="1" applyBorder="1" applyAlignment="1">
      <alignment horizontal="center" vertical="center"/>
    </xf>
    <xf numFmtId="0" fontId="62" fillId="3" borderId="0" xfId="0" applyFont="1" applyFill="1" applyBorder="1" applyAlignment="1">
      <alignment vertical="top"/>
    </xf>
    <xf numFmtId="0" fontId="64" fillId="3" borderId="0" xfId="0" applyFont="1" applyFill="1" applyBorder="1" applyAlignment="1">
      <alignment vertical="top"/>
    </xf>
    <xf numFmtId="0" fontId="64" fillId="3" borderId="0" xfId="0" applyFont="1" applyFill="1" applyBorder="1" applyAlignment="1">
      <alignment horizontal="center" vertical="center"/>
    </xf>
    <xf numFmtId="2" fontId="62" fillId="21" borderId="26" xfId="0" applyNumberFormat="1" applyFont="1" applyFill="1" applyBorder="1" applyAlignment="1">
      <alignment horizontal="center" vertical="center"/>
    </xf>
    <xf numFmtId="2" fontId="62" fillId="3" borderId="0" xfId="0" applyNumberFormat="1" applyFont="1" applyFill="1" applyBorder="1" applyAlignment="1">
      <alignment horizontal="center" vertical="center"/>
    </xf>
    <xf numFmtId="0" fontId="62" fillId="3" borderId="0" xfId="0" applyFont="1" applyFill="1" applyBorder="1" applyAlignment="1">
      <alignment horizontal="right" vertical="top"/>
    </xf>
    <xf numFmtId="0" fontId="62" fillId="20" borderId="0" xfId="0" applyFont="1" applyFill="1" applyBorder="1" applyAlignment="1">
      <alignment vertical="top"/>
    </xf>
    <xf numFmtId="0" fontId="64" fillId="20" borderId="0" xfId="0" applyFont="1" applyFill="1" applyBorder="1" applyAlignment="1">
      <alignment vertical="top"/>
    </xf>
    <xf numFmtId="0" fontId="62" fillId="3" borderId="26" xfId="0" applyFont="1" applyFill="1" applyBorder="1" applyAlignment="1">
      <alignment horizontal="center" vertical="center"/>
    </xf>
    <xf numFmtId="0" fontId="0" fillId="3" borderId="0" xfId="0" applyFill="1" applyBorder="1" applyAlignment="1">
      <alignment horizontal="center" vertical="top"/>
    </xf>
    <xf numFmtId="3" fontId="66" fillId="3" borderId="0" xfId="0" applyNumberFormat="1" applyFont="1" applyFill="1" applyBorder="1" applyAlignment="1">
      <alignment horizontal="center" vertical="top"/>
    </xf>
    <xf numFmtId="0" fontId="7" fillId="3" borderId="0" xfId="0" applyFont="1" applyFill="1" applyBorder="1" applyAlignment="1">
      <alignment horizontal="right" vertical="center"/>
    </xf>
    <xf numFmtId="0" fontId="7" fillId="3" borderId="0" xfId="0" applyFont="1" applyFill="1" applyBorder="1" applyAlignment="1">
      <alignment horizontal="center" vertical="top"/>
    </xf>
    <xf numFmtId="3" fontId="67" fillId="3" borderId="0" xfId="0" applyNumberFormat="1" applyFont="1" applyFill="1" applyBorder="1" applyAlignment="1">
      <alignment vertical="top"/>
    </xf>
    <xf numFmtId="166" fontId="66" fillId="3" borderId="0" xfId="0" applyNumberFormat="1" applyFont="1" applyFill="1" applyBorder="1" applyAlignment="1">
      <alignment horizontal="center" vertical="center"/>
    </xf>
    <xf numFmtId="3" fontId="68" fillId="3" borderId="0" xfId="0" applyNumberFormat="1" applyFont="1" applyFill="1" applyBorder="1" applyAlignment="1">
      <alignment horizontal="left" vertical="top"/>
    </xf>
    <xf numFmtId="3" fontId="69" fillId="3" borderId="0" xfId="0" applyNumberFormat="1" applyFont="1" applyFill="1" applyBorder="1" applyAlignment="1">
      <alignment horizontal="center" vertical="top"/>
    </xf>
    <xf numFmtId="166" fontId="0" fillId="3" borderId="0" xfId="0" applyNumberFormat="1" applyFill="1" applyBorder="1" applyAlignment="1">
      <alignment horizontal="center" vertical="center"/>
    </xf>
    <xf numFmtId="3" fontId="70" fillId="3" borderId="0" xfId="0" applyNumberFormat="1" applyFont="1" applyFill="1" applyBorder="1" applyAlignment="1">
      <alignment horizontal="center" vertical="top"/>
    </xf>
    <xf numFmtId="3" fontId="69" fillId="3" borderId="14" xfId="0" applyNumberFormat="1" applyFont="1" applyFill="1" applyBorder="1" applyAlignment="1">
      <alignment horizontal="left" vertical="top"/>
    </xf>
    <xf numFmtId="166" fontId="71" fillId="3" borderId="14" xfId="0" applyNumberFormat="1" applyFont="1" applyFill="1" applyBorder="1" applyAlignment="1">
      <alignment horizontal="center" vertical="top"/>
    </xf>
    <xf numFmtId="166" fontId="71" fillId="3" borderId="13" xfId="0" applyNumberFormat="1" applyFont="1" applyFill="1" applyBorder="1" applyAlignment="1">
      <alignment horizontal="center" vertical="top"/>
    </xf>
    <xf numFmtId="4" fontId="71" fillId="3" borderId="13" xfId="0" applyNumberFormat="1" applyFont="1" applyFill="1" applyBorder="1" applyAlignment="1">
      <alignment horizontal="center" vertical="top"/>
    </xf>
    <xf numFmtId="3" fontId="70" fillId="3" borderId="0" xfId="0" applyNumberFormat="1" applyFont="1" applyFill="1" applyBorder="1" applyAlignment="1">
      <alignment horizontal="center" vertical="center"/>
    </xf>
    <xf numFmtId="4" fontId="53" fillId="3" borderId="0" xfId="0" applyNumberFormat="1" applyFont="1" applyFill="1" applyBorder="1" applyAlignment="1">
      <alignment horizontal="center" vertical="top"/>
    </xf>
    <xf numFmtId="2" fontId="0" fillId="3" borderId="0" xfId="0" applyNumberFormat="1" applyFill="1" applyBorder="1" applyAlignment="1">
      <alignment vertical="top"/>
    </xf>
    <xf numFmtId="3" fontId="69" fillId="3" borderId="16" xfId="0" applyNumberFormat="1" applyFont="1" applyFill="1" applyBorder="1" applyAlignment="1">
      <alignment horizontal="left" vertical="top"/>
    </xf>
    <xf numFmtId="166" fontId="71" fillId="3" borderId="20" xfId="0" applyNumberFormat="1" applyFont="1" applyFill="1" applyBorder="1" applyAlignment="1">
      <alignment horizontal="center" vertical="top"/>
    </xf>
    <xf numFmtId="166" fontId="71" fillId="3" borderId="19" xfId="0" applyNumberFormat="1" applyFont="1" applyFill="1" applyBorder="1" applyAlignment="1">
      <alignment horizontal="center" vertical="top"/>
    </xf>
    <xf numFmtId="4" fontId="53" fillId="3" borderId="0" xfId="0" applyNumberFormat="1" applyFont="1" applyFill="1" applyBorder="1" applyAlignment="1">
      <alignment horizontal="center" vertical="center"/>
    </xf>
    <xf numFmtId="166" fontId="53" fillId="3" borderId="0" xfId="0" applyNumberFormat="1" applyFont="1" applyFill="1" applyBorder="1" applyAlignment="1">
      <alignment horizontal="center" vertical="top"/>
    </xf>
    <xf numFmtId="3" fontId="71" fillId="3" borderId="16" xfId="0" applyNumberFormat="1" applyFont="1" applyFill="1" applyBorder="1" applyAlignment="1">
      <alignment horizontal="center" vertical="top"/>
    </xf>
    <xf numFmtId="3" fontId="71" fillId="3" borderId="15" xfId="0" applyNumberFormat="1" applyFont="1" applyFill="1" applyBorder="1" applyAlignment="1">
      <alignment horizontal="center" vertical="top"/>
    </xf>
    <xf numFmtId="166" fontId="53" fillId="3" borderId="0" xfId="0" applyNumberFormat="1" applyFont="1" applyFill="1" applyBorder="1" applyAlignment="1">
      <alignment horizontal="center" vertical="center"/>
    </xf>
    <xf numFmtId="3" fontId="53" fillId="3" borderId="0" xfId="0" applyNumberFormat="1" applyFont="1" applyFill="1" applyBorder="1" applyAlignment="1">
      <alignment horizontal="center" vertical="top"/>
    </xf>
    <xf numFmtId="4" fontId="71" fillId="3" borderId="16" xfId="0" applyNumberFormat="1" applyFont="1" applyFill="1" applyBorder="1" applyAlignment="1">
      <alignment horizontal="center" vertical="top"/>
    </xf>
    <xf numFmtId="4" fontId="71" fillId="3" borderId="15" xfId="0" applyNumberFormat="1" applyFont="1" applyFill="1" applyBorder="1" applyAlignment="1">
      <alignment horizontal="center" vertical="top"/>
    </xf>
    <xf numFmtId="3" fontId="53" fillId="3" borderId="0" xfId="0" applyNumberFormat="1" applyFont="1" applyFill="1" applyBorder="1" applyAlignment="1">
      <alignment horizontal="center" vertical="center"/>
    </xf>
    <xf numFmtId="4" fontId="71" fillId="3" borderId="20" xfId="0" applyNumberFormat="1" applyFont="1" applyFill="1" applyBorder="1" applyAlignment="1">
      <alignment horizontal="center" vertical="top"/>
    </xf>
    <xf numFmtId="4" fontId="71" fillId="3" borderId="19" xfId="0" applyNumberFormat="1" applyFont="1" applyFill="1" applyBorder="1" applyAlignment="1">
      <alignment horizontal="center" vertical="top"/>
    </xf>
    <xf numFmtId="166" fontId="0" fillId="3" borderId="0" xfId="0" applyNumberFormat="1" applyFill="1" applyBorder="1" applyAlignment="1">
      <alignment vertical="top"/>
    </xf>
    <xf numFmtId="4" fontId="71" fillId="3" borderId="14" xfId="0" applyNumberFormat="1" applyFont="1" applyFill="1" applyBorder="1" applyAlignment="1">
      <alignment horizontal="center" vertical="top"/>
    </xf>
    <xf numFmtId="3" fontId="71" fillId="3" borderId="20" xfId="0" applyNumberFormat="1" applyFont="1" applyFill="1" applyBorder="1" applyAlignment="1">
      <alignment horizontal="center" vertical="top"/>
    </xf>
    <xf numFmtId="166" fontId="71" fillId="3" borderId="15" xfId="0" applyNumberFormat="1" applyFont="1" applyFill="1" applyBorder="1" applyAlignment="1">
      <alignment horizontal="center" vertical="top"/>
    </xf>
    <xf numFmtId="3" fontId="71" fillId="3" borderId="19" xfId="0" applyNumberFormat="1" applyFont="1" applyFill="1" applyBorder="1" applyAlignment="1">
      <alignment horizontal="center" vertical="top"/>
    </xf>
    <xf numFmtId="3" fontId="71" fillId="3" borderId="14" xfId="0" applyNumberFormat="1" applyFont="1" applyFill="1" applyBorder="1" applyAlignment="1">
      <alignment horizontal="center" vertical="top"/>
    </xf>
    <xf numFmtId="3" fontId="71" fillId="3" borderId="13" xfId="0" applyNumberFormat="1" applyFont="1" applyFill="1" applyBorder="1" applyAlignment="1">
      <alignment horizontal="center" vertical="top"/>
    </xf>
    <xf numFmtId="2" fontId="72" fillId="3" borderId="26" xfId="0" applyNumberFormat="1" applyFont="1" applyFill="1" applyBorder="1" applyAlignment="1">
      <alignment horizontal="center" vertical="top"/>
    </xf>
    <xf numFmtId="2" fontId="72" fillId="3" borderId="24" xfId="0" applyNumberFormat="1" applyFont="1" applyFill="1" applyBorder="1" applyAlignment="1">
      <alignment horizontal="center" vertical="top"/>
    </xf>
    <xf numFmtId="2" fontId="7" fillId="3" borderId="0" xfId="0" applyNumberFormat="1" applyFont="1" applyFill="1" applyBorder="1" applyAlignment="1">
      <alignment horizontal="center" vertical="top"/>
    </xf>
    <xf numFmtId="3" fontId="71" fillId="3" borderId="26" xfId="0" applyNumberFormat="1" applyFont="1" applyFill="1" applyBorder="1" applyAlignment="1">
      <alignment horizontal="center" vertical="top"/>
    </xf>
    <xf numFmtId="3" fontId="71" fillId="3" borderId="24" xfId="0" applyNumberFormat="1" applyFont="1" applyFill="1" applyBorder="1" applyAlignment="1">
      <alignment horizontal="center" vertical="top"/>
    </xf>
    <xf numFmtId="2" fontId="7" fillId="3" borderId="0" xfId="0" applyNumberFormat="1" applyFont="1" applyFill="1" applyBorder="1" applyAlignment="1">
      <alignment horizontal="center" vertical="center"/>
    </xf>
    <xf numFmtId="3" fontId="69" fillId="3" borderId="20" xfId="0" applyNumberFormat="1" applyFont="1" applyFill="1" applyBorder="1" applyAlignment="1">
      <alignment horizontal="left" vertical="top"/>
    </xf>
    <xf numFmtId="0" fontId="62" fillId="3" borderId="14" xfId="0" applyFont="1" applyFill="1" applyBorder="1" applyAlignment="1">
      <alignment horizontal="left" vertical="center"/>
    </xf>
    <xf numFmtId="0" fontId="62" fillId="3" borderId="24" xfId="0" applyFont="1" applyFill="1" applyBorder="1" applyAlignment="1">
      <alignment horizontal="center" vertical="center"/>
    </xf>
    <xf numFmtId="0" fontId="64" fillId="8" borderId="16" xfId="0" applyFont="1" applyFill="1" applyBorder="1" applyAlignment="1">
      <alignment horizontal="left" vertical="center"/>
    </xf>
    <xf numFmtId="2" fontId="64" fillId="3" borderId="16" xfId="0" applyNumberFormat="1" applyFont="1" applyFill="1" applyBorder="1" applyAlignment="1">
      <alignment horizontal="center" vertical="center"/>
    </xf>
    <xf numFmtId="2" fontId="64" fillId="3" borderId="15" xfId="0" applyNumberFormat="1" applyFont="1" applyFill="1" applyBorder="1" applyAlignment="1">
      <alignment horizontal="center" vertical="center"/>
    </xf>
    <xf numFmtId="2" fontId="0" fillId="3" borderId="0" xfId="0" applyNumberFormat="1" applyFill="1" applyBorder="1" applyAlignment="1">
      <alignment horizontal="center" vertical="center"/>
    </xf>
    <xf numFmtId="0" fontId="64" fillId="3" borderId="16" xfId="0" applyFont="1" applyFill="1" applyBorder="1" applyAlignment="1">
      <alignment horizontal="left" vertical="center"/>
    </xf>
    <xf numFmtId="0" fontId="64" fillId="3" borderId="16" xfId="0" applyFont="1" applyFill="1" applyBorder="1" applyAlignment="1">
      <alignment horizontal="center" vertical="center"/>
    </xf>
    <xf numFmtId="0" fontId="64" fillId="3" borderId="15" xfId="0" applyFont="1" applyFill="1" applyBorder="1" applyAlignment="1">
      <alignment horizontal="center" vertical="center"/>
    </xf>
    <xf numFmtId="1" fontId="64" fillId="3" borderId="16" xfId="0" applyNumberFormat="1" applyFont="1" applyFill="1" applyBorder="1" applyAlignment="1">
      <alignment horizontal="center" vertical="center"/>
    </xf>
    <xf numFmtId="1" fontId="64" fillId="3" borderId="15" xfId="0" applyNumberFormat="1" applyFont="1" applyFill="1" applyBorder="1" applyAlignment="1">
      <alignment horizontal="center" vertical="center"/>
    </xf>
    <xf numFmtId="1" fontId="0" fillId="3" borderId="0" xfId="0" applyNumberFormat="1" applyFill="1" applyBorder="1" applyAlignment="1">
      <alignment horizontal="center" vertical="center"/>
    </xf>
    <xf numFmtId="3" fontId="64" fillId="3" borderId="16" xfId="0" applyNumberFormat="1" applyFont="1" applyFill="1" applyBorder="1" applyAlignment="1">
      <alignment horizontal="center" vertical="center"/>
    </xf>
    <xf numFmtId="3" fontId="64" fillId="3" borderId="15" xfId="0" applyNumberFormat="1" applyFont="1" applyFill="1" applyBorder="1" applyAlignment="1">
      <alignment horizontal="center" vertical="center"/>
    </xf>
    <xf numFmtId="3" fontId="0" fillId="3" borderId="0" xfId="0" applyNumberFormat="1" applyFill="1" applyBorder="1" applyAlignment="1">
      <alignment horizontal="center" vertical="center"/>
    </xf>
    <xf numFmtId="4" fontId="64" fillId="3" borderId="16" xfId="0" applyNumberFormat="1" applyFont="1" applyFill="1" applyBorder="1" applyAlignment="1">
      <alignment horizontal="center" vertical="center"/>
    </xf>
    <xf numFmtId="4" fontId="64" fillId="3" borderId="15" xfId="0" applyNumberFormat="1" applyFont="1" applyFill="1" applyBorder="1" applyAlignment="1">
      <alignment horizontal="center" vertical="center"/>
    </xf>
    <xf numFmtId="4" fontId="0" fillId="3" borderId="0" xfId="0" applyNumberFormat="1" applyFill="1" applyBorder="1" applyAlignment="1">
      <alignment horizontal="center" vertical="center"/>
    </xf>
    <xf numFmtId="167" fontId="64" fillId="3" borderId="15" xfId="0" applyNumberFormat="1" applyFont="1" applyFill="1" applyBorder="1" applyAlignment="1">
      <alignment horizontal="center" vertical="center"/>
    </xf>
    <xf numFmtId="167" fontId="7" fillId="3" borderId="0" xfId="0" applyNumberFormat="1" applyFont="1" applyFill="1" applyBorder="1" applyAlignment="1">
      <alignment horizontal="center" vertical="center"/>
    </xf>
    <xf numFmtId="2" fontId="64" fillId="3" borderId="16" xfId="0" applyNumberFormat="1" applyFont="1" applyFill="1" applyBorder="1" applyAlignment="1">
      <alignment horizontal="left" vertical="center"/>
    </xf>
    <xf numFmtId="0" fontId="62" fillId="8" borderId="26" xfId="0" applyFont="1" applyFill="1" applyBorder="1" applyAlignment="1">
      <alignment horizontal="left" vertical="center"/>
    </xf>
    <xf numFmtId="3" fontId="64" fillId="3" borderId="26" xfId="0" applyNumberFormat="1" applyFont="1" applyFill="1" applyBorder="1" applyAlignment="1">
      <alignment horizontal="center" vertical="center"/>
    </xf>
    <xf numFmtId="3" fontId="64" fillId="3" borderId="24" xfId="0" applyNumberFormat="1" applyFont="1" applyFill="1" applyBorder="1" applyAlignment="1">
      <alignment horizontal="center" vertical="center"/>
    </xf>
    <xf numFmtId="3" fontId="7" fillId="3" borderId="0" xfId="0" applyNumberFormat="1" applyFont="1" applyFill="1" applyBorder="1" applyAlignment="1">
      <alignment horizontal="center" vertical="center"/>
    </xf>
    <xf numFmtId="0" fontId="73" fillId="3" borderId="0" xfId="0" applyFont="1" applyFill="1" applyAlignment="1">
      <alignment horizontal="left" vertical="center"/>
    </xf>
    <xf numFmtId="0" fontId="65" fillId="3" borderId="0" xfId="0" applyFont="1" applyFill="1" applyBorder="1" applyAlignment="1">
      <alignment vertical="top"/>
    </xf>
    <xf numFmtId="0" fontId="74" fillId="3" borderId="0" xfId="0" applyFont="1" applyFill="1" applyAlignment="1">
      <alignment horizontal="right" vertical="center" indent="4"/>
    </xf>
    <xf numFmtId="0" fontId="74" fillId="3" borderId="0" xfId="0" applyFont="1" applyFill="1" applyAlignment="1">
      <alignment horizontal="left" vertical="center" indent="4"/>
    </xf>
    <xf numFmtId="0" fontId="75" fillId="3" borderId="0" xfId="0" applyFont="1" applyFill="1" applyAlignment="1">
      <alignment horizontal="left" vertical="center"/>
    </xf>
    <xf numFmtId="0" fontId="26" fillId="2" borderId="0" xfId="0" applyFont="1" applyFill="1" applyAlignment="1">
      <alignment horizontal="center" vertical="center"/>
    </xf>
    <xf numFmtId="0" fontId="8" fillId="22" borderId="0" xfId="0" applyFont="1" applyFill="1" applyAlignment="1">
      <alignment horizontal="center" vertical="center"/>
    </xf>
    <xf numFmtId="0" fontId="8" fillId="23" borderId="0" xfId="0" applyFont="1" applyFill="1" applyAlignment="1">
      <alignment horizontal="center" vertical="center"/>
    </xf>
    <xf numFmtId="0" fontId="8" fillId="24" borderId="0" xfId="0" applyFont="1" applyFill="1" applyAlignment="1">
      <alignment horizontal="center" vertical="center"/>
    </xf>
    <xf numFmtId="0" fontId="8" fillId="24" borderId="0" xfId="0" applyFont="1" applyFill="1" applyAlignment="1">
      <alignment horizontal="left" vertical="center"/>
    </xf>
    <xf numFmtId="0" fontId="8" fillId="23" borderId="0" xfId="0" applyFont="1" applyFill="1" applyAlignment="1">
      <alignment horizontal="left" vertical="center"/>
    </xf>
    <xf numFmtId="0" fontId="8" fillId="22" borderId="0" xfId="0" applyFont="1" applyFill="1" applyAlignment="1">
      <alignment horizontal="left" vertical="center"/>
    </xf>
    <xf numFmtId="1" fontId="15" fillId="13" borderId="16" xfId="0" applyNumberFormat="1" applyFont="1" applyFill="1" applyBorder="1" applyAlignment="1">
      <alignment horizontal="center" vertical="center"/>
    </xf>
    <xf numFmtId="164" fontId="11" fillId="13" borderId="6" xfId="0" applyNumberFormat="1" applyFont="1" applyFill="1" applyBorder="1" applyAlignment="1">
      <alignment horizontal="center" vertical="center"/>
    </xf>
    <xf numFmtId="0" fontId="31" fillId="3" borderId="0" xfId="0" applyFont="1" applyFill="1" applyBorder="1" applyAlignment="1">
      <alignment horizontal="left" vertical="center"/>
    </xf>
    <xf numFmtId="1" fontId="32" fillId="3" borderId="0" xfId="0" applyNumberFormat="1" applyFont="1" applyFill="1" applyBorder="1" applyAlignment="1">
      <alignment horizontal="center" vertical="center"/>
    </xf>
    <xf numFmtId="0" fontId="82" fillId="3" borderId="0" xfId="0" applyFont="1" applyFill="1" applyBorder="1"/>
    <xf numFmtId="164" fontId="35" fillId="3" borderId="0" xfId="0" applyNumberFormat="1" applyFont="1" applyFill="1" applyBorder="1" applyAlignment="1">
      <alignment vertical="center"/>
    </xf>
    <xf numFmtId="0" fontId="82" fillId="3" borderId="0" xfId="0" applyFont="1" applyFill="1" applyBorder="1" applyAlignment="1">
      <alignment vertical="center"/>
    </xf>
    <xf numFmtId="164" fontId="18" fillId="3" borderId="0" xfId="0" applyNumberFormat="1" applyFont="1" applyFill="1" applyBorder="1" applyAlignment="1">
      <alignment horizontal="center" vertical="center"/>
    </xf>
    <xf numFmtId="0" fontId="82" fillId="3" borderId="0" xfId="0" applyFont="1" applyFill="1" applyBorder="1" applyAlignment="1">
      <alignment horizontal="center" vertical="center"/>
    </xf>
    <xf numFmtId="1" fontId="82" fillId="3" borderId="0" xfId="0" applyNumberFormat="1" applyFont="1" applyFill="1" applyBorder="1"/>
    <xf numFmtId="164" fontId="34" fillId="3" borderId="0" xfId="0" applyNumberFormat="1" applyFont="1" applyFill="1" applyBorder="1" applyAlignment="1">
      <alignment horizontal="center" vertical="center"/>
    </xf>
    <xf numFmtId="164" fontId="34" fillId="3" borderId="0" xfId="0" applyNumberFormat="1" applyFont="1" applyFill="1" applyBorder="1" applyAlignment="1">
      <alignment vertical="center"/>
    </xf>
    <xf numFmtId="0" fontId="79" fillId="3" borderId="0" xfId="0" applyFont="1" applyFill="1" applyBorder="1" applyAlignment="1">
      <alignment horizontal="left" vertical="center"/>
    </xf>
    <xf numFmtId="164" fontId="34" fillId="3" borderId="0" xfId="0" applyNumberFormat="1" applyFont="1" applyFill="1" applyBorder="1" applyAlignment="1">
      <alignment horizontal="left" vertical="center"/>
    </xf>
    <xf numFmtId="0" fontId="84" fillId="3" borderId="0" xfId="0" applyFont="1" applyFill="1" applyBorder="1"/>
    <xf numFmtId="3" fontId="80" fillId="3" borderId="0" xfId="0" applyNumberFormat="1" applyFont="1" applyFill="1" applyBorder="1" applyAlignment="1">
      <alignment horizontal="center" vertical="center"/>
    </xf>
    <xf numFmtId="0" fontId="78" fillId="3" borderId="0" xfId="0" applyFont="1" applyFill="1" applyBorder="1" applyAlignment="1">
      <alignment horizontal="center" vertical="center"/>
    </xf>
    <xf numFmtId="166" fontId="80" fillId="3" borderId="0" xfId="0" applyNumberFormat="1" applyFont="1" applyFill="1" applyBorder="1" applyAlignment="1">
      <alignment horizontal="center" vertical="center"/>
    </xf>
    <xf numFmtId="0" fontId="85" fillId="3" borderId="0" xfId="0" applyFont="1" applyFill="1" applyBorder="1" applyAlignment="1">
      <alignment vertical="top"/>
    </xf>
    <xf numFmtId="0" fontId="85" fillId="3" borderId="0" xfId="0" applyFont="1" applyFill="1" applyBorder="1" applyAlignment="1">
      <alignment horizontal="center" vertical="center"/>
    </xf>
    <xf numFmtId="3" fontId="68" fillId="3" borderId="0" xfId="0" applyNumberFormat="1" applyFont="1" applyFill="1" applyBorder="1" applyAlignment="1">
      <alignment horizontal="center" vertical="center"/>
    </xf>
    <xf numFmtId="3" fontId="68" fillId="3" borderId="0" xfId="0" applyNumberFormat="1" applyFont="1" applyFill="1" applyBorder="1" applyAlignment="1">
      <alignment horizontal="center" vertical="top"/>
    </xf>
    <xf numFmtId="0" fontId="79" fillId="3" borderId="0" xfId="0" applyFont="1" applyFill="1" applyBorder="1" applyAlignment="1">
      <alignment horizontal="right" vertical="center"/>
    </xf>
    <xf numFmtId="0" fontId="82" fillId="10" borderId="0" xfId="0" applyFont="1" applyFill="1" applyBorder="1"/>
    <xf numFmtId="0" fontId="80" fillId="3" borderId="44" xfId="0" applyFont="1" applyFill="1" applyBorder="1" applyAlignment="1">
      <alignment horizontal="center" vertical="center"/>
    </xf>
    <xf numFmtId="0" fontId="80" fillId="3" borderId="53" xfId="0" applyFont="1" applyFill="1" applyBorder="1" applyAlignment="1">
      <alignment horizontal="center" vertical="center"/>
    </xf>
    <xf numFmtId="0" fontId="80" fillId="3" borderId="24" xfId="0" applyFont="1" applyFill="1" applyBorder="1" applyAlignment="1">
      <alignment horizontal="center" vertical="center"/>
    </xf>
    <xf numFmtId="2" fontId="84" fillId="3" borderId="0" xfId="0" applyNumberFormat="1" applyFont="1" applyFill="1" applyBorder="1" applyAlignment="1">
      <alignment horizontal="center" vertical="center"/>
    </xf>
    <xf numFmtId="0" fontId="84" fillId="3" borderId="44" xfId="0" applyFont="1" applyFill="1" applyBorder="1" applyAlignment="1">
      <alignment horizontal="center" vertical="center"/>
    </xf>
    <xf numFmtId="3" fontId="84" fillId="3" borderId="0" xfId="0" applyNumberFormat="1" applyFont="1" applyFill="1" applyBorder="1" applyAlignment="1">
      <alignment horizontal="center" vertical="center"/>
    </xf>
    <xf numFmtId="1" fontId="84" fillId="3" borderId="0" xfId="0" applyNumberFormat="1" applyFont="1" applyFill="1" applyBorder="1" applyAlignment="1">
      <alignment horizontal="center" vertical="center"/>
    </xf>
    <xf numFmtId="0" fontId="84" fillId="3" borderId="0" xfId="0" applyFont="1" applyFill="1" applyBorder="1" applyAlignment="1">
      <alignment horizontal="center" vertical="center"/>
    </xf>
    <xf numFmtId="2" fontId="84" fillId="3" borderId="53" xfId="0" applyNumberFormat="1" applyFont="1" applyFill="1" applyBorder="1" applyAlignment="1">
      <alignment horizontal="center" vertical="center"/>
    </xf>
    <xf numFmtId="2" fontId="84" fillId="3" borderId="24" xfId="0" applyNumberFormat="1" applyFont="1" applyFill="1" applyBorder="1" applyAlignment="1">
      <alignment horizontal="center" vertical="center"/>
    </xf>
    <xf numFmtId="0" fontId="87" fillId="3" borderId="0" xfId="0" applyFont="1" applyFill="1" applyBorder="1" applyAlignment="1">
      <alignment horizontal="center" vertical="center"/>
    </xf>
    <xf numFmtId="1" fontId="14" fillId="13" borderId="8" xfId="0" applyNumberFormat="1" applyFont="1" applyFill="1" applyBorder="1" applyAlignment="1">
      <alignment horizontal="center" vertical="center"/>
    </xf>
    <xf numFmtId="0" fontId="18" fillId="3" borderId="0" xfId="0" applyFont="1" applyFill="1" applyBorder="1" applyAlignment="1">
      <alignment vertical="center" wrapText="1"/>
    </xf>
    <xf numFmtId="0" fontId="0" fillId="3" borderId="0" xfId="0" applyFill="1" applyAlignment="1">
      <alignment vertical="top"/>
    </xf>
    <xf numFmtId="3" fontId="66" fillId="3" borderId="0" xfId="0" applyNumberFormat="1" applyFont="1" applyFill="1" applyAlignment="1">
      <alignment vertical="top"/>
    </xf>
    <xf numFmtId="3" fontId="66" fillId="3" borderId="0" xfId="0" applyNumberFormat="1" applyFont="1" applyFill="1" applyAlignment="1">
      <alignment horizontal="center" vertical="top"/>
    </xf>
    <xf numFmtId="3" fontId="67" fillId="3" borderId="0" xfId="0" applyNumberFormat="1" applyFont="1" applyFill="1" applyAlignment="1">
      <alignment vertical="top"/>
    </xf>
    <xf numFmtId="3" fontId="66" fillId="3" borderId="0" xfId="0" applyNumberFormat="1" applyFont="1" applyFill="1" applyAlignment="1">
      <alignment horizontal="left" vertical="top"/>
    </xf>
    <xf numFmtId="3" fontId="70" fillId="3" borderId="0" xfId="0" applyNumberFormat="1" applyFont="1" applyFill="1" applyAlignment="1">
      <alignment horizontal="center" vertical="top"/>
    </xf>
    <xf numFmtId="0" fontId="7" fillId="3" borderId="0" xfId="0" applyFont="1" applyFill="1" applyAlignment="1">
      <alignment vertical="top"/>
    </xf>
    <xf numFmtId="3" fontId="70" fillId="3" borderId="18" xfId="0" applyNumberFormat="1" applyFont="1" applyFill="1" applyBorder="1" applyAlignment="1">
      <alignment horizontal="left" vertical="top"/>
    </xf>
    <xf numFmtId="0" fontId="0" fillId="3" borderId="7" xfId="0" applyFill="1" applyBorder="1" applyAlignment="1">
      <alignment vertical="top"/>
    </xf>
    <xf numFmtId="0" fontId="0" fillId="3" borderId="18" xfId="0" applyFill="1" applyBorder="1" applyAlignment="1">
      <alignment vertical="top"/>
    </xf>
    <xf numFmtId="1" fontId="0" fillId="3" borderId="13" xfId="0" applyNumberFormat="1" applyFill="1" applyBorder="1" applyAlignment="1">
      <alignment vertical="top"/>
    </xf>
    <xf numFmtId="3" fontId="70" fillId="3" borderId="5" xfId="0" applyNumberFormat="1" applyFont="1" applyFill="1" applyBorder="1" applyAlignment="1">
      <alignment horizontal="left" vertical="top"/>
    </xf>
    <xf numFmtId="4" fontId="90" fillId="8" borderId="5" xfId="0" applyNumberFormat="1" applyFont="1" applyFill="1" applyBorder="1" applyAlignment="1">
      <alignment horizontal="center" vertical="top"/>
    </xf>
    <xf numFmtId="4" fontId="90" fillId="8" borderId="15" xfId="0" applyNumberFormat="1" applyFont="1" applyFill="1" applyBorder="1" applyAlignment="1">
      <alignment horizontal="center" vertical="top"/>
    </xf>
    <xf numFmtId="0" fontId="0" fillId="3" borderId="5" xfId="0" applyFill="1" applyBorder="1" applyAlignment="1">
      <alignment vertical="top"/>
    </xf>
    <xf numFmtId="0" fontId="0" fillId="3" borderId="15" xfId="0" applyFill="1" applyBorder="1" applyAlignment="1">
      <alignment vertical="top"/>
    </xf>
    <xf numFmtId="3" fontId="90" fillId="8" borderId="5" xfId="0" applyNumberFormat="1" applyFont="1" applyFill="1" applyBorder="1" applyAlignment="1">
      <alignment horizontal="center" vertical="top"/>
    </xf>
    <xf numFmtId="3" fontId="90" fillId="8" borderId="15" xfId="0" applyNumberFormat="1" applyFont="1" applyFill="1" applyBorder="1" applyAlignment="1">
      <alignment horizontal="center" vertical="top"/>
    </xf>
    <xf numFmtId="0" fontId="0" fillId="3" borderId="17" xfId="0" applyFill="1" applyBorder="1" applyAlignment="1">
      <alignment vertical="top"/>
    </xf>
    <xf numFmtId="1" fontId="0" fillId="3" borderId="19" xfId="0" applyNumberFormat="1" applyFill="1" applyBorder="1" applyAlignment="1">
      <alignment vertical="top"/>
    </xf>
    <xf numFmtId="4" fontId="0" fillId="3" borderId="0" xfId="0" applyNumberFormat="1" applyFill="1" applyAlignment="1">
      <alignment horizontal="left" vertical="top"/>
    </xf>
    <xf numFmtId="166" fontId="90" fillId="8" borderId="15" xfId="0" applyNumberFormat="1" applyFont="1" applyFill="1" applyBorder="1" applyAlignment="1">
      <alignment horizontal="center" vertical="top"/>
    </xf>
    <xf numFmtId="0" fontId="0" fillId="3" borderId="13" xfId="0" applyFill="1" applyBorder="1" applyAlignment="1">
      <alignment vertical="top"/>
    </xf>
    <xf numFmtId="0" fontId="0" fillId="3" borderId="19" xfId="0" applyFill="1" applyBorder="1" applyAlignment="1">
      <alignment vertical="top"/>
    </xf>
    <xf numFmtId="2" fontId="0" fillId="8" borderId="5" xfId="0" applyNumberFormat="1" applyFill="1" applyBorder="1" applyAlignment="1">
      <alignment horizontal="center" vertical="top"/>
    </xf>
    <xf numFmtId="2" fontId="0" fillId="8" borderId="15" xfId="0" applyNumberFormat="1" applyFill="1" applyBorder="1" applyAlignment="1">
      <alignment horizontal="center" vertical="top"/>
    </xf>
    <xf numFmtId="2" fontId="0" fillId="3" borderId="0" xfId="0" applyNumberFormat="1" applyFill="1" applyAlignment="1">
      <alignment vertical="top"/>
    </xf>
    <xf numFmtId="3" fontId="70" fillId="3" borderId="17" xfId="0" applyNumberFormat="1" applyFont="1" applyFill="1" applyBorder="1" applyAlignment="1">
      <alignment horizontal="left" vertical="top"/>
    </xf>
    <xf numFmtId="2" fontId="0" fillId="8" borderId="17" xfId="0" applyNumberFormat="1" applyFill="1" applyBorder="1" applyAlignment="1">
      <alignment horizontal="center" vertical="top"/>
    </xf>
    <xf numFmtId="2" fontId="0" fillId="8" borderId="19" xfId="0" applyNumberFormat="1" applyFill="1" applyBorder="1" applyAlignment="1">
      <alignment horizontal="center" vertical="top"/>
    </xf>
    <xf numFmtId="0" fontId="0" fillId="3" borderId="37" xfId="0" applyFill="1" applyBorder="1" applyAlignment="1">
      <alignment vertical="top"/>
    </xf>
    <xf numFmtId="2" fontId="0" fillId="3" borderId="0" xfId="0" applyNumberFormat="1" applyFill="1" applyAlignment="1">
      <alignment horizontal="center" vertical="top"/>
    </xf>
    <xf numFmtId="0" fontId="7" fillId="3" borderId="14" xfId="0" applyFont="1" applyFill="1" applyBorder="1" applyAlignment="1">
      <alignment horizontal="left" vertical="center"/>
    </xf>
    <xf numFmtId="0" fontId="7" fillId="8" borderId="44" xfId="0" applyFont="1" applyFill="1" applyBorder="1" applyAlignment="1">
      <alignment horizontal="center" vertical="center"/>
    </xf>
    <xf numFmtId="0" fontId="7" fillId="8" borderId="24" xfId="0" applyFont="1" applyFill="1" applyBorder="1" applyAlignment="1">
      <alignment horizontal="center" vertical="center"/>
    </xf>
    <xf numFmtId="0" fontId="0" fillId="3" borderId="16" xfId="0" applyFill="1" applyBorder="1" applyAlignment="1">
      <alignment horizontal="left" vertical="center"/>
    </xf>
    <xf numFmtId="0" fontId="0" fillId="3" borderId="0" xfId="0" applyFill="1" applyAlignment="1">
      <alignment horizontal="center" vertical="top"/>
    </xf>
    <xf numFmtId="2" fontId="0" fillId="8" borderId="5" xfId="0" applyNumberFormat="1" applyFill="1" applyBorder="1" applyAlignment="1">
      <alignment horizontal="center" vertical="center"/>
    </xf>
    <xf numFmtId="2" fontId="0" fillId="8" borderId="15" xfId="0" applyNumberFormat="1" applyFill="1" applyBorder="1" applyAlignment="1">
      <alignment horizontal="center" vertical="center"/>
    </xf>
    <xf numFmtId="0" fontId="0" fillId="8" borderId="5" xfId="0" applyFill="1" applyBorder="1" applyAlignment="1">
      <alignment horizontal="center" vertical="center"/>
    </xf>
    <xf numFmtId="0" fontId="0" fillId="8" borderId="15" xfId="0" applyFill="1" applyBorder="1" applyAlignment="1">
      <alignment horizontal="center" vertical="center"/>
    </xf>
    <xf numFmtId="0" fontId="37" fillId="3" borderId="0" xfId="3" applyFill="1" applyAlignment="1">
      <alignment vertical="top"/>
    </xf>
    <xf numFmtId="1" fontId="0" fillId="8" borderId="5" xfId="0" applyNumberFormat="1" applyFill="1" applyBorder="1" applyAlignment="1">
      <alignment horizontal="center" vertical="center"/>
    </xf>
    <xf numFmtId="1" fontId="0" fillId="8" borderId="15" xfId="0" applyNumberFormat="1" applyFill="1" applyBorder="1" applyAlignment="1">
      <alignment horizontal="center" vertical="center"/>
    </xf>
    <xf numFmtId="3" fontId="0" fillId="8" borderId="5" xfId="0" applyNumberFormat="1" applyFill="1" applyBorder="1" applyAlignment="1">
      <alignment horizontal="center" vertical="center"/>
    </xf>
    <xf numFmtId="3" fontId="0" fillId="8" borderId="15" xfId="0" applyNumberFormat="1" applyFill="1" applyBorder="1" applyAlignment="1">
      <alignment horizontal="center" vertical="center"/>
    </xf>
    <xf numFmtId="169" fontId="0" fillId="8" borderId="5" xfId="0" applyNumberFormat="1" applyFill="1" applyBorder="1" applyAlignment="1">
      <alignment horizontal="center" vertical="center"/>
    </xf>
    <xf numFmtId="169" fontId="0" fillId="8" borderId="15" xfId="0" applyNumberFormat="1" applyFill="1" applyBorder="1" applyAlignment="1">
      <alignment horizontal="center" vertical="center"/>
    </xf>
    <xf numFmtId="170" fontId="0" fillId="8" borderId="5" xfId="0" applyNumberFormat="1" applyFill="1" applyBorder="1" applyAlignment="1">
      <alignment horizontal="center" vertical="center"/>
    </xf>
    <xf numFmtId="170" fontId="0" fillId="3" borderId="0" xfId="0" applyNumberFormat="1" applyFill="1" applyAlignment="1">
      <alignment vertical="top"/>
    </xf>
    <xf numFmtId="164" fontId="0" fillId="8" borderId="5" xfId="0" applyNumberFormat="1" applyFill="1" applyBorder="1" applyAlignment="1">
      <alignment horizontal="center" vertical="center"/>
    </xf>
    <xf numFmtId="164" fontId="0" fillId="8" borderId="15" xfId="0" applyNumberFormat="1" applyFill="1" applyBorder="1" applyAlignment="1">
      <alignment horizontal="center" vertical="center"/>
    </xf>
    <xf numFmtId="164" fontId="0" fillId="3" borderId="0" xfId="0" applyNumberFormat="1" applyFill="1" applyAlignment="1">
      <alignment vertical="top"/>
    </xf>
    <xf numFmtId="2" fontId="0" fillId="3" borderId="16" xfId="0" applyNumberFormat="1" applyFill="1" applyBorder="1" applyAlignment="1">
      <alignment horizontal="left" vertical="center"/>
    </xf>
    <xf numFmtId="0" fontId="0" fillId="3" borderId="20" xfId="0" applyFill="1" applyBorder="1" applyAlignment="1">
      <alignment horizontal="left" vertical="center"/>
    </xf>
    <xf numFmtId="3" fontId="0" fillId="8" borderId="17" xfId="0" applyNumberFormat="1" applyFill="1" applyBorder="1" applyAlignment="1">
      <alignment horizontal="center" vertical="center"/>
    </xf>
    <xf numFmtId="3" fontId="0" fillId="8" borderId="19" xfId="0" applyNumberFormat="1" applyFill="1" applyBorder="1" applyAlignment="1">
      <alignment horizontal="center" vertical="center"/>
    </xf>
    <xf numFmtId="1" fontId="0" fillId="3" borderId="0" xfId="0" applyNumberFormat="1" applyFill="1" applyAlignment="1">
      <alignment vertical="top"/>
    </xf>
    <xf numFmtId="4" fontId="90" fillId="26" borderId="18" xfId="0" applyNumberFormat="1" applyFont="1" applyFill="1" applyBorder="1" applyAlignment="1">
      <alignment horizontal="center" vertical="top"/>
    </xf>
    <xf numFmtId="4" fontId="90" fillId="26" borderId="13" xfId="0" applyNumberFormat="1" applyFont="1" applyFill="1" applyBorder="1" applyAlignment="1">
      <alignment horizontal="center" vertical="top"/>
    </xf>
    <xf numFmtId="2" fontId="0" fillId="26" borderId="18" xfId="0" applyNumberFormat="1" applyFill="1" applyBorder="1" applyAlignment="1">
      <alignment horizontal="center" vertical="top"/>
    </xf>
    <xf numFmtId="2" fontId="0" fillId="26" borderId="13" xfId="0" applyNumberFormat="1" applyFill="1" applyBorder="1" applyAlignment="1">
      <alignment horizontal="center" vertical="top"/>
    </xf>
    <xf numFmtId="0" fontId="80" fillId="3" borderId="0" xfId="0" applyFont="1" applyFill="1" applyBorder="1" applyAlignment="1">
      <alignment horizontal="left" vertical="center"/>
    </xf>
    <xf numFmtId="0" fontId="5" fillId="3" borderId="0" xfId="0" applyFont="1" applyFill="1" applyBorder="1"/>
    <xf numFmtId="4" fontId="68" fillId="3" borderId="0" xfId="0" applyNumberFormat="1" applyFont="1" applyFill="1" applyBorder="1" applyAlignment="1">
      <alignment horizontal="center" vertical="center"/>
    </xf>
    <xf numFmtId="4" fontId="85" fillId="3" borderId="0" xfId="0" applyNumberFormat="1" applyFont="1" applyFill="1" applyBorder="1" applyAlignment="1">
      <alignment horizontal="center" vertical="center"/>
    </xf>
    <xf numFmtId="164" fontId="84" fillId="3" borderId="0" xfId="0" applyNumberFormat="1" applyFont="1" applyFill="1" applyBorder="1" applyAlignment="1">
      <alignment horizontal="center" vertical="center"/>
    </xf>
    <xf numFmtId="4" fontId="8" fillId="13" borderId="0" xfId="0" applyNumberFormat="1" applyFont="1" applyFill="1" applyAlignment="1">
      <alignment horizontal="center" vertical="center"/>
    </xf>
    <xf numFmtId="4" fontId="8" fillId="27" borderId="0" xfId="0" applyNumberFormat="1" applyFont="1" applyFill="1" applyAlignment="1">
      <alignment horizontal="center" vertical="center"/>
    </xf>
    <xf numFmtId="4" fontId="8" fillId="28" borderId="0" xfId="0" applyNumberFormat="1" applyFont="1" applyFill="1" applyAlignment="1">
      <alignment horizontal="center" vertical="center"/>
    </xf>
    <xf numFmtId="0" fontId="83" fillId="3" borderId="0" xfId="0" applyFont="1" applyFill="1" applyBorder="1" applyAlignment="1">
      <alignment vertical="center"/>
    </xf>
    <xf numFmtId="1" fontId="63" fillId="13" borderId="16" xfId="0" applyNumberFormat="1" applyFont="1" applyFill="1" applyBorder="1" applyAlignment="1">
      <alignment horizontal="center" vertical="center"/>
    </xf>
    <xf numFmtId="0" fontId="92" fillId="3" borderId="0" xfId="0" applyFont="1" applyFill="1" applyBorder="1" applyAlignment="1">
      <alignment horizontal="left" vertical="center"/>
    </xf>
    <xf numFmtId="3" fontId="93" fillId="3" borderId="0" xfId="0" applyNumberFormat="1" applyFont="1" applyFill="1" applyBorder="1" applyAlignment="1">
      <alignment horizontal="center" vertical="center"/>
    </xf>
    <xf numFmtId="2" fontId="93" fillId="3" borderId="0" xfId="0" applyNumberFormat="1" applyFont="1" applyFill="1" applyBorder="1" applyAlignment="1">
      <alignment horizontal="center" vertical="center"/>
    </xf>
    <xf numFmtId="0" fontId="81" fillId="3" borderId="0" xfId="0" applyFont="1" applyFill="1" applyBorder="1" applyAlignment="1">
      <alignment horizontal="center" vertical="center"/>
    </xf>
    <xf numFmtId="0" fontId="18" fillId="3" borderId="0" xfId="0" applyFont="1" applyFill="1" applyBorder="1" applyAlignment="1">
      <alignment horizontal="center" vertical="center" wrapText="1"/>
    </xf>
    <xf numFmtId="164" fontId="11" fillId="3" borderId="0" xfId="0" applyNumberFormat="1" applyFont="1" applyFill="1" applyBorder="1" applyAlignment="1">
      <alignment horizontal="left" vertical="center"/>
    </xf>
    <xf numFmtId="3" fontId="90" fillId="3" borderId="0" xfId="0" applyNumberFormat="1" applyFont="1" applyFill="1" applyBorder="1" applyAlignment="1">
      <alignment horizontal="center" vertical="center"/>
    </xf>
    <xf numFmtId="4" fontId="90" fillId="3" borderId="0" xfId="0" applyNumberFormat="1" applyFont="1" applyFill="1" applyBorder="1" applyAlignment="1">
      <alignment horizontal="center" vertical="center"/>
    </xf>
    <xf numFmtId="2" fontId="0" fillId="3" borderId="0" xfId="0" applyNumberFormat="1" applyFont="1" applyFill="1" applyBorder="1" applyAlignment="1">
      <alignment horizontal="center" vertical="center"/>
    </xf>
    <xf numFmtId="171" fontId="0" fillId="3" borderId="0" xfId="0" applyNumberFormat="1" applyFont="1" applyFill="1" applyBorder="1" applyAlignment="1">
      <alignment horizontal="center" vertical="center"/>
    </xf>
    <xf numFmtId="0" fontId="64" fillId="3" borderId="0" xfId="0" applyFont="1" applyFill="1" applyBorder="1" applyAlignment="1">
      <alignment horizontal="center" vertical="top"/>
    </xf>
    <xf numFmtId="170" fontId="64" fillId="3" borderId="16" xfId="0" applyNumberFormat="1" applyFont="1" applyFill="1" applyBorder="1" applyAlignment="1">
      <alignment horizontal="center" vertical="center"/>
    </xf>
    <xf numFmtId="170" fontId="64" fillId="3" borderId="15" xfId="0" applyNumberFormat="1" applyFont="1" applyFill="1" applyBorder="1" applyAlignment="1">
      <alignment horizontal="center" vertical="center"/>
    </xf>
    <xf numFmtId="3" fontId="68" fillId="3" borderId="0" xfId="0" applyNumberFormat="1" applyFont="1" applyFill="1" applyBorder="1" applyAlignment="1">
      <alignment vertical="top"/>
    </xf>
    <xf numFmtId="3" fontId="66" fillId="3" borderId="0" xfId="0" applyNumberFormat="1" applyFont="1" applyFill="1" applyBorder="1" applyAlignment="1">
      <alignment vertical="top"/>
    </xf>
    <xf numFmtId="166" fontId="66" fillId="3" borderId="0" xfId="0" applyNumberFormat="1" applyFont="1" applyFill="1" applyBorder="1" applyAlignment="1">
      <alignment vertical="top"/>
    </xf>
    <xf numFmtId="3" fontId="70" fillId="3" borderId="0" xfId="0" applyNumberFormat="1" applyFont="1" applyFill="1" applyBorder="1" applyAlignment="1">
      <alignment vertical="top"/>
    </xf>
    <xf numFmtId="4" fontId="53" fillId="3" borderId="0" xfId="0" applyNumberFormat="1" applyFont="1" applyFill="1" applyBorder="1" applyAlignment="1">
      <alignment vertical="top"/>
    </xf>
    <xf numFmtId="166" fontId="53" fillId="3" borderId="0" xfId="0" applyNumberFormat="1" applyFont="1" applyFill="1" applyBorder="1" applyAlignment="1">
      <alignment vertical="top"/>
    </xf>
    <xf numFmtId="3" fontId="53" fillId="3" borderId="0" xfId="0" applyNumberFormat="1" applyFont="1" applyFill="1" applyBorder="1" applyAlignment="1">
      <alignment vertical="top"/>
    </xf>
    <xf numFmtId="2" fontId="7" fillId="3" borderId="0" xfId="0" applyNumberFormat="1" applyFont="1" applyFill="1" applyBorder="1" applyAlignment="1">
      <alignment vertical="top"/>
    </xf>
    <xf numFmtId="0" fontId="7" fillId="3" borderId="0" xfId="0" applyFont="1" applyFill="1" applyBorder="1" applyAlignment="1">
      <alignment vertical="top"/>
    </xf>
    <xf numFmtId="1" fontId="0" fillId="3" borderId="0" xfId="0" applyNumberFormat="1" applyFill="1" applyBorder="1" applyAlignment="1">
      <alignment vertical="top"/>
    </xf>
    <xf numFmtId="3" fontId="0" fillId="3" borderId="0" xfId="0" applyNumberFormat="1" applyFill="1" applyBorder="1" applyAlignment="1">
      <alignment vertical="top"/>
    </xf>
    <xf numFmtId="4" fontId="0" fillId="3" borderId="0" xfId="0" applyNumberFormat="1" applyFill="1" applyBorder="1" applyAlignment="1">
      <alignment vertical="top"/>
    </xf>
    <xf numFmtId="167" fontId="7" fillId="3" borderId="0" xfId="0" applyNumberFormat="1" applyFont="1" applyFill="1" applyBorder="1" applyAlignment="1">
      <alignment vertical="top"/>
    </xf>
    <xf numFmtId="3" fontId="7" fillId="3" borderId="0" xfId="0" applyNumberFormat="1" applyFont="1" applyFill="1" applyBorder="1" applyAlignment="1">
      <alignment vertical="top"/>
    </xf>
    <xf numFmtId="0" fontId="80" fillId="3" borderId="0" xfId="0" applyFont="1" applyFill="1" applyBorder="1" applyAlignment="1">
      <alignment horizontal="center" vertical="center"/>
    </xf>
    <xf numFmtId="4" fontId="15" fillId="3" borderId="0" xfId="0" applyNumberFormat="1" applyFont="1" applyFill="1" applyBorder="1" applyAlignment="1">
      <alignment horizontal="center" vertical="center"/>
    </xf>
    <xf numFmtId="3" fontId="15" fillId="3" borderId="0" xfId="0" applyNumberFormat="1" applyFont="1" applyFill="1" applyBorder="1" applyAlignment="1">
      <alignment horizontal="center" vertical="center"/>
    </xf>
    <xf numFmtId="0" fontId="95" fillId="3" borderId="0" xfId="0" applyFont="1" applyFill="1" applyBorder="1"/>
    <xf numFmtId="164" fontId="11" fillId="3" borderId="0" xfId="0" applyNumberFormat="1" applyFont="1" applyFill="1" applyBorder="1" applyAlignment="1">
      <alignment horizontal="left" vertical="center" wrapText="1"/>
    </xf>
    <xf numFmtId="167" fontId="11" fillId="3" borderId="0" xfId="0" applyNumberFormat="1" applyFont="1" applyFill="1" applyBorder="1" applyAlignment="1">
      <alignment horizontal="left" vertical="center"/>
    </xf>
    <xf numFmtId="0" fontId="15" fillId="8" borderId="0" xfId="0" applyFont="1" applyFill="1" applyBorder="1" applyAlignment="1">
      <alignment horizontal="center" vertical="center"/>
    </xf>
    <xf numFmtId="0" fontId="96" fillId="29" borderId="0" xfId="0" applyFont="1" applyFill="1" applyBorder="1" applyAlignment="1">
      <alignment horizontal="center" vertical="center"/>
    </xf>
    <xf numFmtId="166" fontId="15" fillId="3" borderId="0" xfId="0" applyNumberFormat="1" applyFont="1" applyFill="1" applyBorder="1" applyAlignment="1">
      <alignment horizontal="center" vertical="center"/>
    </xf>
    <xf numFmtId="164" fontId="98" fillId="30" borderId="0" xfId="0" applyNumberFormat="1" applyFont="1" applyFill="1" applyBorder="1" applyAlignment="1">
      <alignment horizontal="center" vertical="center"/>
    </xf>
    <xf numFmtId="1" fontId="98" fillId="30" borderId="0" xfId="0" applyNumberFormat="1" applyFont="1" applyFill="1" applyBorder="1" applyAlignment="1">
      <alignment horizontal="center" vertical="center"/>
    </xf>
    <xf numFmtId="164" fontId="14" fillId="3" borderId="11" xfId="0" applyNumberFormat="1" applyFont="1" applyFill="1" applyBorder="1" applyAlignment="1">
      <alignment horizontal="right" vertical="center"/>
    </xf>
    <xf numFmtId="0" fontId="23" fillId="3" borderId="0" xfId="0" applyFont="1" applyFill="1" applyBorder="1" applyAlignment="1">
      <alignment horizontal="right" vertical="center"/>
    </xf>
    <xf numFmtId="164" fontId="98" fillId="31" borderId="0" xfId="0" applyNumberFormat="1" applyFont="1" applyFill="1" applyBorder="1" applyAlignment="1">
      <alignment horizontal="left" vertical="center"/>
    </xf>
    <xf numFmtId="0" fontId="27" fillId="10" borderId="0" xfId="0" applyFont="1" applyFill="1" applyBorder="1" applyAlignment="1">
      <alignment horizontal="center"/>
    </xf>
    <xf numFmtId="4" fontId="82" fillId="32" borderId="0" xfId="0" applyNumberFormat="1" applyFont="1" applyFill="1" applyBorder="1"/>
    <xf numFmtId="0" fontId="4" fillId="3" borderId="0" xfId="0" applyFont="1" applyFill="1" applyBorder="1"/>
    <xf numFmtId="0" fontId="3" fillId="3" borderId="0" xfId="0" applyFont="1" applyFill="1" applyBorder="1"/>
    <xf numFmtId="0" fontId="23" fillId="30" borderId="26" xfId="0" applyFont="1" applyFill="1" applyBorder="1" applyAlignment="1">
      <alignment horizontal="center" vertical="center"/>
    </xf>
    <xf numFmtId="1" fontId="18" fillId="30" borderId="27" xfId="0" applyNumberFormat="1" applyFont="1" applyFill="1" applyBorder="1" applyAlignment="1">
      <alignment horizontal="center" vertical="center"/>
    </xf>
    <xf numFmtId="14" fontId="11" fillId="3" borderId="0" xfId="0" applyNumberFormat="1" applyFont="1" applyFill="1" applyBorder="1" applyAlignment="1">
      <alignment horizontal="center" vertical="center" wrapText="1"/>
    </xf>
    <xf numFmtId="164" fontId="35" fillId="3" borderId="0" xfId="0" applyNumberFormat="1" applyFont="1" applyFill="1" applyBorder="1" applyAlignment="1">
      <alignment horizontal="left" vertical="center"/>
    </xf>
    <xf numFmtId="164" fontId="96" fillId="29" borderId="0" xfId="0" applyNumberFormat="1" applyFont="1" applyFill="1" applyBorder="1" applyAlignment="1">
      <alignment horizontal="left" vertical="center"/>
    </xf>
    <xf numFmtId="164" fontId="15" fillId="8" borderId="0" xfId="0" applyNumberFormat="1" applyFont="1" applyFill="1" applyBorder="1" applyAlignment="1">
      <alignment horizontal="left" vertical="center" wrapText="1"/>
    </xf>
    <xf numFmtId="164" fontId="97" fillId="8" borderId="0" xfId="0" applyNumberFormat="1" applyFont="1" applyFill="1" applyBorder="1" applyAlignment="1">
      <alignment horizontal="left" vertical="center" wrapText="1"/>
    </xf>
    <xf numFmtId="4" fontId="81" fillId="3" borderId="0" xfId="0" applyNumberFormat="1" applyFont="1" applyFill="1" applyBorder="1" applyAlignment="1">
      <alignment horizontal="center" vertical="center"/>
    </xf>
    <xf numFmtId="0" fontId="18" fillId="0" borderId="0" xfId="0" applyFont="1" applyBorder="1" applyAlignment="1">
      <alignment horizontal="center" vertical="center"/>
    </xf>
    <xf numFmtId="4" fontId="80" fillId="13" borderId="0" xfId="0" applyNumberFormat="1" applyFont="1" applyFill="1" applyBorder="1" applyAlignment="1">
      <alignment horizontal="center" vertical="center"/>
    </xf>
    <xf numFmtId="164" fontId="34" fillId="13" borderId="0" xfId="0" applyNumberFormat="1" applyFont="1" applyFill="1" applyBorder="1" applyAlignment="1">
      <alignment horizontal="left" vertical="center"/>
    </xf>
    <xf numFmtId="0" fontId="82" fillId="13" borderId="0" xfId="0" applyFont="1" applyFill="1" applyBorder="1"/>
    <xf numFmtId="2" fontId="80" fillId="8" borderId="0" xfId="0" applyNumberFormat="1" applyFont="1" applyFill="1" applyBorder="1" applyAlignment="1">
      <alignment horizontal="center" vertical="center"/>
    </xf>
    <xf numFmtId="2" fontId="99" fillId="8" borderId="0" xfId="0" applyNumberFormat="1" applyFont="1" applyFill="1" applyBorder="1" applyAlignment="1">
      <alignment horizontal="center" vertical="center"/>
    </xf>
    <xf numFmtId="0" fontId="0" fillId="3" borderId="0" xfId="0" applyFill="1" applyBorder="1" applyAlignment="1">
      <alignment horizontal="left" vertical="center" wrapText="1"/>
    </xf>
    <xf numFmtId="0" fontId="95" fillId="3" borderId="0" xfId="0" applyFont="1" applyFill="1" applyBorder="1" applyAlignment="1">
      <alignment vertical="center"/>
    </xf>
    <xf numFmtId="0" fontId="95" fillId="3" borderId="0" xfId="0" applyFont="1" applyFill="1" applyBorder="1" applyAlignment="1">
      <alignment horizontal="center" vertical="center"/>
    </xf>
    <xf numFmtId="0" fontId="95" fillId="3" borderId="0" xfId="0" applyFont="1" applyFill="1" applyBorder="1" applyAlignment="1">
      <alignment horizontal="left" vertical="center"/>
    </xf>
    <xf numFmtId="0" fontId="81" fillId="3" borderId="0" xfId="0" applyFont="1" applyFill="1" applyBorder="1" applyAlignment="1">
      <alignment vertical="center"/>
    </xf>
    <xf numFmtId="0" fontId="81" fillId="3" borderId="0" xfId="0" applyFont="1" applyFill="1" applyBorder="1" applyAlignment="1">
      <alignment horizontal="left" vertical="center"/>
    </xf>
    <xf numFmtId="164" fontId="79" fillId="3" borderId="0" xfId="0" applyNumberFormat="1" applyFont="1" applyFill="1" applyBorder="1" applyAlignment="1">
      <alignment horizontal="right" vertical="center"/>
    </xf>
    <xf numFmtId="164" fontId="92" fillId="33" borderId="0" xfId="0" applyNumberFormat="1" applyFont="1" applyFill="1" applyBorder="1" applyAlignment="1">
      <alignment horizontal="center" vertical="center"/>
    </xf>
    <xf numFmtId="164" fontId="92" fillId="12" borderId="0" xfId="0" applyNumberFormat="1" applyFont="1" applyFill="1" applyBorder="1" applyAlignment="1">
      <alignment horizontal="center" vertical="center"/>
    </xf>
    <xf numFmtId="0" fontId="27" fillId="10" borderId="0" xfId="0" applyFont="1" applyFill="1" applyBorder="1"/>
    <xf numFmtId="1" fontId="34" fillId="3" borderId="0" xfId="0" applyNumberFormat="1" applyFont="1" applyFill="1" applyBorder="1" applyAlignment="1">
      <alignment horizontal="center" vertical="center"/>
    </xf>
    <xf numFmtId="164" fontId="27" fillId="19" borderId="0" xfId="0" applyNumberFormat="1" applyFont="1" applyFill="1" applyBorder="1" applyAlignment="1">
      <alignment horizontal="center" vertical="center"/>
    </xf>
    <xf numFmtId="0" fontId="27" fillId="26" borderId="0" xfId="0" applyFont="1" applyFill="1" applyBorder="1"/>
    <xf numFmtId="0" fontId="18" fillId="3" borderId="0" xfId="0" applyFont="1" applyFill="1" applyBorder="1"/>
    <xf numFmtId="1" fontId="27" fillId="34" borderId="0" xfId="0" applyNumberFormat="1" applyFont="1" applyFill="1" applyBorder="1" applyAlignment="1">
      <alignment horizontal="center" vertical="center"/>
    </xf>
    <xf numFmtId="0" fontId="2" fillId="3" borderId="0" xfId="0" applyFont="1" applyFill="1" applyBorder="1"/>
    <xf numFmtId="1" fontId="34" fillId="3" borderId="0" xfId="0" applyNumberFormat="1" applyFont="1" applyFill="1" applyBorder="1" applyAlignment="1">
      <alignment horizontal="right" vertical="center"/>
    </xf>
    <xf numFmtId="1" fontId="34" fillId="32" borderId="0" xfId="0" applyNumberFormat="1" applyFont="1" applyFill="1" applyBorder="1" applyAlignment="1">
      <alignment horizontal="right" vertical="center"/>
    </xf>
    <xf numFmtId="167" fontId="34" fillId="3" borderId="0" xfId="0" applyNumberFormat="1" applyFont="1" applyFill="1" applyBorder="1" applyAlignment="1">
      <alignment horizontal="center"/>
    </xf>
    <xf numFmtId="0" fontId="1" fillId="3" borderId="0" xfId="0" applyFont="1" applyFill="1" applyBorder="1"/>
    <xf numFmtId="1" fontId="27" fillId="5" borderId="0" xfId="0" applyNumberFormat="1" applyFont="1" applyFill="1" applyBorder="1" applyAlignment="1">
      <alignment horizontal="center" vertical="center"/>
    </xf>
    <xf numFmtId="164" fontId="96" fillId="29" borderId="0" xfId="0" applyNumberFormat="1" applyFont="1" applyFill="1" applyBorder="1" applyAlignment="1">
      <alignment horizontal="left" vertical="center"/>
    </xf>
    <xf numFmtId="1" fontId="100" fillId="3" borderId="0" xfId="0" applyNumberFormat="1" applyFont="1" applyFill="1" applyBorder="1" applyAlignment="1">
      <alignment horizontal="right" vertical="center"/>
    </xf>
    <xf numFmtId="164" fontId="100" fillId="3" borderId="0" xfId="0" applyNumberFormat="1" applyFont="1" applyFill="1" applyBorder="1" applyAlignment="1">
      <alignment horizontal="left" vertical="center"/>
    </xf>
    <xf numFmtId="0" fontId="15" fillId="3" borderId="0" xfId="0" applyFont="1" applyFill="1" applyBorder="1"/>
    <xf numFmtId="164" fontId="57" fillId="3" borderId="0" xfId="0" applyNumberFormat="1" applyFont="1" applyFill="1" applyBorder="1" applyAlignment="1">
      <alignment horizontal="left" vertical="center"/>
    </xf>
    <xf numFmtId="4" fontId="57" fillId="3" borderId="0" xfId="0" applyNumberFormat="1" applyFont="1" applyFill="1" applyBorder="1" applyAlignment="1">
      <alignment horizontal="center" vertical="center"/>
    </xf>
    <xf numFmtId="3" fontId="57" fillId="3" borderId="0" xfId="0" applyNumberFormat="1" applyFont="1" applyFill="1" applyBorder="1" applyAlignment="1">
      <alignment horizontal="center" vertical="center"/>
    </xf>
    <xf numFmtId="164" fontId="57" fillId="3" borderId="0" xfId="0" applyNumberFormat="1" applyFont="1" applyFill="1" applyBorder="1" applyAlignment="1">
      <alignment horizontal="left" vertical="center" wrapText="1"/>
    </xf>
    <xf numFmtId="0" fontId="56" fillId="3" borderId="0" xfId="0" applyFont="1" applyFill="1" applyBorder="1"/>
    <xf numFmtId="166" fontId="57" fillId="3" borderId="0" xfId="0" applyNumberFormat="1" applyFont="1" applyFill="1" applyBorder="1" applyAlignment="1">
      <alignment horizontal="center" vertical="center"/>
    </xf>
    <xf numFmtId="164" fontId="11" fillId="3" borderId="0" xfId="0" applyNumberFormat="1" applyFont="1" applyFill="1" applyBorder="1" applyAlignment="1">
      <alignment horizontal="right" vertical="center" wrapText="1"/>
    </xf>
    <xf numFmtId="164" fontId="15" fillId="3" borderId="0" xfId="0" applyNumberFormat="1" applyFont="1" applyFill="1" applyBorder="1" applyAlignment="1">
      <alignment horizontal="center" vertical="center"/>
    </xf>
    <xf numFmtId="164" fontId="35" fillId="3" borderId="0" xfId="0" applyNumberFormat="1" applyFont="1" applyFill="1" applyBorder="1" applyAlignment="1">
      <alignment horizontal="left" vertical="center"/>
    </xf>
    <xf numFmtId="2" fontId="31" fillId="3" borderId="0" xfId="0" applyNumberFormat="1" applyFont="1" applyFill="1" applyBorder="1" applyAlignment="1">
      <alignment horizontal="center" vertical="center"/>
    </xf>
    <xf numFmtId="170" fontId="15" fillId="3" borderId="0" xfId="0" applyNumberFormat="1" applyFont="1" applyFill="1" applyBorder="1" applyAlignment="1">
      <alignment horizontal="center" vertical="center"/>
    </xf>
    <xf numFmtId="172" fontId="101" fillId="2" borderId="0" xfId="4" applyNumberFormat="1" applyFont="1" applyFill="1" applyAlignment="1">
      <alignment horizontal="left"/>
    </xf>
    <xf numFmtId="0" fontId="101" fillId="2" borderId="0" xfId="4" applyFont="1" applyFill="1" applyAlignment="1">
      <alignment horizontal="left"/>
    </xf>
    <xf numFmtId="0" fontId="78" fillId="2" borderId="0" xfId="4" applyFont="1" applyFill="1" applyAlignment="1">
      <alignment horizontal="left"/>
    </xf>
    <xf numFmtId="0" fontId="92" fillId="10" borderId="0" xfId="0" applyFont="1" applyFill="1" applyBorder="1"/>
    <xf numFmtId="164" fontId="92" fillId="10" borderId="0" xfId="0" applyNumberFormat="1" applyFont="1" applyFill="1" applyBorder="1" applyAlignment="1">
      <alignment horizontal="left" vertical="center"/>
    </xf>
    <xf numFmtId="168" fontId="87" fillId="19" borderId="0" xfId="0" applyNumberFormat="1" applyFont="1" applyFill="1" applyBorder="1" applyAlignment="1">
      <alignment horizontal="center" vertical="center"/>
    </xf>
    <xf numFmtId="1" fontId="16" fillId="3" borderId="8" xfId="0" applyNumberFormat="1" applyFont="1" applyFill="1" applyBorder="1" applyAlignment="1">
      <alignment vertical="center"/>
    </xf>
    <xf numFmtId="164" fontId="16" fillId="3" borderId="8" xfId="0" applyNumberFormat="1" applyFont="1" applyFill="1" applyBorder="1" applyAlignment="1">
      <alignment horizontal="center" vertical="center"/>
    </xf>
    <xf numFmtId="1" fontId="16" fillId="3" borderId="8" xfId="0" applyNumberFormat="1" applyFont="1" applyFill="1" applyBorder="1" applyAlignment="1">
      <alignment horizontal="center" vertical="center"/>
    </xf>
    <xf numFmtId="0" fontId="101" fillId="2" borderId="0" xfId="4" applyFont="1" applyFill="1" applyAlignment="1">
      <alignment horizontal="left" wrapText="1"/>
    </xf>
    <xf numFmtId="0" fontId="93" fillId="3" borderId="0" xfId="4" applyFont="1" applyFill="1" applyAlignment="1">
      <alignment horizontal="left"/>
    </xf>
    <xf numFmtId="164" fontId="98" fillId="3" borderId="0" xfId="0" applyNumberFormat="1" applyFont="1" applyFill="1" applyBorder="1" applyAlignment="1">
      <alignment horizontal="left"/>
    </xf>
    <xf numFmtId="0" fontId="102" fillId="0" borderId="0" xfId="4" applyFont="1" applyAlignment="1">
      <alignment horizontal="left"/>
    </xf>
    <xf numFmtId="0" fontId="103" fillId="0" borderId="0" xfId="4" applyFont="1" applyAlignment="1">
      <alignment horizontal="left"/>
    </xf>
    <xf numFmtId="1" fontId="28" fillId="2" borderId="0" xfId="4" applyNumberFormat="1" applyFont="1" applyFill="1" applyAlignment="1">
      <alignment horizontal="left"/>
    </xf>
    <xf numFmtId="1" fontId="101" fillId="2" borderId="0" xfId="4" applyNumberFormat="1" applyFont="1" applyFill="1" applyAlignment="1">
      <alignment horizontal="left"/>
    </xf>
    <xf numFmtId="0" fontId="28" fillId="2" borderId="0" xfId="4" applyFont="1" applyFill="1" applyAlignment="1">
      <alignment horizontal="left"/>
    </xf>
    <xf numFmtId="0" fontId="45" fillId="3" borderId="0" xfId="0" applyFont="1" applyFill="1" applyAlignment="1">
      <alignment horizontal="left"/>
    </xf>
    <xf numFmtId="0" fontId="25" fillId="3" borderId="0" xfId="0" applyFont="1" applyFill="1" applyAlignment="1">
      <alignment horizontal="left"/>
    </xf>
    <xf numFmtId="0" fontId="105" fillId="2" borderId="0" xfId="4" applyFont="1" applyFill="1" applyAlignment="1">
      <alignment horizontal="left"/>
    </xf>
    <xf numFmtId="0" fontId="106" fillId="2" borderId="0" xfId="4" applyFont="1" applyFill="1" applyAlignment="1">
      <alignment horizontal="left"/>
    </xf>
    <xf numFmtId="0" fontId="107" fillId="0" borderId="0" xfId="4" applyFont="1" applyAlignment="1">
      <alignment horizontal="left"/>
    </xf>
    <xf numFmtId="164" fontId="28" fillId="2" borderId="0" xfId="4" applyNumberFormat="1" applyFont="1" applyFill="1" applyAlignment="1">
      <alignment horizontal="left"/>
    </xf>
    <xf numFmtId="14" fontId="28" fillId="2" borderId="0" xfId="4" applyNumberFormat="1" applyFont="1" applyFill="1" applyAlignment="1">
      <alignment horizontal="left"/>
    </xf>
    <xf numFmtId="14" fontId="104" fillId="2" borderId="0" xfId="4" applyNumberFormat="1" applyFont="1" applyFill="1" applyAlignment="1">
      <alignment horizontal="left"/>
    </xf>
    <xf numFmtId="0" fontId="104" fillId="2" borderId="0" xfId="4" applyFont="1" applyFill="1" applyAlignment="1">
      <alignment horizontal="left"/>
    </xf>
    <xf numFmtId="0" fontId="109" fillId="3" borderId="0" xfId="0" applyFont="1" applyFill="1" applyAlignment="1">
      <alignment horizontal="left"/>
    </xf>
    <xf numFmtId="0" fontId="8" fillId="0" borderId="0" xfId="4" applyAlignment="1">
      <alignment horizontal="left"/>
    </xf>
    <xf numFmtId="164" fontId="28" fillId="0" borderId="0" xfId="4" applyNumberFormat="1" applyFont="1" applyAlignment="1">
      <alignment horizontal="left"/>
    </xf>
    <xf numFmtId="0" fontId="101" fillId="3" borderId="0" xfId="4" applyFont="1" applyFill="1" applyAlignment="1">
      <alignment horizontal="left"/>
    </xf>
    <xf numFmtId="0" fontId="0" fillId="0" borderId="0" xfId="0" applyBorder="1" applyAlignment="1">
      <alignment horizontal="left" wrapText="1"/>
    </xf>
    <xf numFmtId="0" fontId="108" fillId="0" borderId="0" xfId="4" applyFont="1" applyAlignment="1">
      <alignment horizontal="left" wrapText="1"/>
    </xf>
    <xf numFmtId="0" fontId="101" fillId="0" borderId="0" xfId="4" applyFont="1" applyAlignment="1">
      <alignment horizontal="left" wrapText="1"/>
    </xf>
    <xf numFmtId="0" fontId="8" fillId="0" borderId="0" xfId="4" applyAlignment="1">
      <alignment horizontal="left" wrapText="1"/>
    </xf>
    <xf numFmtId="0" fontId="15" fillId="3" borderId="0" xfId="0" applyFont="1" applyFill="1" applyBorder="1" applyAlignment="1">
      <alignment horizontal="right" vertical="center"/>
    </xf>
    <xf numFmtId="14" fontId="98" fillId="3" borderId="0" xfId="0" applyNumberFormat="1" applyFont="1" applyFill="1" applyBorder="1" applyAlignment="1">
      <alignment horizontal="right" vertical="center"/>
    </xf>
    <xf numFmtId="164" fontId="78" fillId="3" borderId="0" xfId="0" applyNumberFormat="1" applyFont="1" applyFill="1" applyBorder="1" applyAlignment="1">
      <alignment horizontal="right" vertical="top" wrapText="1"/>
    </xf>
    <xf numFmtId="164" fontId="98" fillId="3" borderId="0" xfId="0" applyNumberFormat="1" applyFont="1" applyFill="1" applyBorder="1" applyAlignment="1">
      <alignment horizontal="right" vertical="center"/>
    </xf>
    <xf numFmtId="0" fontId="96" fillId="3" borderId="0" xfId="0" applyFont="1" applyFill="1" applyBorder="1" applyAlignment="1">
      <alignment horizontal="right" vertical="center"/>
    </xf>
    <xf numFmtId="2" fontId="15" fillId="3" borderId="0" xfId="0" applyNumberFormat="1" applyFont="1" applyFill="1" applyBorder="1" applyAlignment="1">
      <alignment horizontal="right" vertical="center"/>
    </xf>
    <xf numFmtId="4" fontId="15" fillId="3" borderId="0" xfId="0" applyNumberFormat="1" applyFont="1" applyFill="1" applyBorder="1" applyAlignment="1">
      <alignment horizontal="right" vertical="center"/>
    </xf>
    <xf numFmtId="164" fontId="97" fillId="3" borderId="0" xfId="0" applyNumberFormat="1" applyFont="1" applyFill="1" applyBorder="1" applyAlignment="1">
      <alignment horizontal="right" vertical="center" wrapText="1"/>
    </xf>
    <xf numFmtId="166" fontId="15" fillId="3" borderId="0" xfId="0" applyNumberFormat="1" applyFont="1" applyFill="1" applyBorder="1" applyAlignment="1">
      <alignment horizontal="right" vertical="center"/>
    </xf>
    <xf numFmtId="3" fontId="15" fillId="3" borderId="0" xfId="0" applyNumberFormat="1" applyFont="1" applyFill="1" applyBorder="1" applyAlignment="1">
      <alignment horizontal="right" vertical="center"/>
    </xf>
    <xf numFmtId="164" fontId="11" fillId="3" borderId="0" xfId="0" applyNumberFormat="1" applyFont="1" applyFill="1" applyBorder="1" applyAlignment="1">
      <alignment horizontal="right" vertical="center"/>
    </xf>
    <xf numFmtId="0" fontId="95" fillId="3" borderId="0" xfId="0" applyFont="1" applyFill="1" applyBorder="1" applyAlignment="1">
      <alignment horizontal="right" vertical="center"/>
    </xf>
    <xf numFmtId="172" fontId="101" fillId="2" borderId="0" xfId="4" applyNumberFormat="1" applyFont="1" applyFill="1" applyAlignment="1">
      <alignment horizontal="left"/>
    </xf>
    <xf numFmtId="0" fontId="0" fillId="3" borderId="0" xfId="0" applyFill="1" applyAlignment="1">
      <alignment horizontal="left" vertical="top"/>
    </xf>
    <xf numFmtId="0" fontId="7" fillId="3" borderId="0" xfId="0" applyFont="1" applyFill="1" applyAlignment="1">
      <alignment horizontal="left" vertical="top"/>
    </xf>
    <xf numFmtId="0" fontId="7" fillId="3" borderId="0" xfId="0" applyFont="1" applyFill="1" applyAlignment="1">
      <alignment horizontal="center" vertical="top"/>
    </xf>
    <xf numFmtId="0" fontId="7" fillId="3" borderId="18" xfId="0" applyFont="1" applyFill="1" applyBorder="1" applyAlignment="1">
      <alignment horizontal="left" vertical="top"/>
    </xf>
    <xf numFmtId="0" fontId="7" fillId="3" borderId="7" xfId="0" applyFont="1" applyFill="1" applyBorder="1" applyAlignment="1">
      <alignment horizontal="left" vertical="top"/>
    </xf>
    <xf numFmtId="0" fontId="7" fillId="3" borderId="13" xfId="0" applyFont="1" applyFill="1" applyBorder="1" applyAlignment="1">
      <alignment horizontal="center" vertical="top"/>
    </xf>
    <xf numFmtId="0" fontId="7" fillId="3" borderId="5" xfId="0" applyFont="1" applyFill="1" applyBorder="1" applyAlignment="1">
      <alignment horizontal="left" vertical="top"/>
    </xf>
    <xf numFmtId="0" fontId="7" fillId="3" borderId="0" xfId="0" applyFont="1" applyFill="1" applyBorder="1" applyAlignment="1">
      <alignment horizontal="left" vertical="top"/>
    </xf>
    <xf numFmtId="0" fontId="7" fillId="3" borderId="15" xfId="0" applyFont="1" applyFill="1" applyBorder="1" applyAlignment="1">
      <alignment horizontal="center" vertical="top"/>
    </xf>
    <xf numFmtId="0" fontId="7" fillId="3" borderId="17" xfId="0" applyFont="1" applyFill="1" applyBorder="1" applyAlignment="1">
      <alignment horizontal="left" vertical="top"/>
    </xf>
    <xf numFmtId="0" fontId="7" fillId="3" borderId="37" xfId="0" applyFont="1" applyFill="1" applyBorder="1" applyAlignment="1">
      <alignment horizontal="left" vertical="top"/>
    </xf>
    <xf numFmtId="0" fontId="0" fillId="3" borderId="17" xfId="0" applyFill="1" applyBorder="1" applyAlignment="1">
      <alignment horizontal="center" vertical="top"/>
    </xf>
    <xf numFmtId="0" fontId="7" fillId="3" borderId="32" xfId="0" applyFont="1" applyFill="1" applyBorder="1" applyAlignment="1">
      <alignment horizontal="left" vertical="top"/>
    </xf>
    <xf numFmtId="0" fontId="7" fillId="3" borderId="33" xfId="0" applyFont="1" applyFill="1" applyBorder="1" applyAlignment="1">
      <alignment horizontal="left" vertical="top"/>
    </xf>
    <xf numFmtId="164" fontId="98" fillId="3" borderId="0" xfId="0" applyNumberFormat="1" applyFont="1" applyFill="1" applyBorder="1" applyAlignment="1">
      <alignment horizontal="right" vertical="center" wrapText="1"/>
    </xf>
    <xf numFmtId="172" fontId="101" fillId="2" borderId="0" xfId="4" applyNumberFormat="1" applyFont="1" applyFill="1" applyAlignment="1">
      <alignment horizontal="left"/>
    </xf>
    <xf numFmtId="0" fontId="109" fillId="3" borderId="0" xfId="0" applyFont="1" applyFill="1" applyAlignment="1">
      <alignment horizontal="center" vertical="top"/>
    </xf>
    <xf numFmtId="1" fontId="7" fillId="14" borderId="0" xfId="0" applyNumberFormat="1" applyFont="1" applyFill="1" applyBorder="1" applyAlignment="1">
      <alignment horizontal="center" vertical="top"/>
    </xf>
    <xf numFmtId="0" fontId="7" fillId="3" borderId="0" xfId="0" applyFont="1" applyFill="1"/>
    <xf numFmtId="0" fontId="110" fillId="3" borderId="0" xfId="0" applyFont="1" applyFill="1"/>
    <xf numFmtId="166" fontId="15" fillId="3" borderId="0" xfId="0" applyNumberFormat="1" applyFont="1" applyFill="1" applyBorder="1" applyAlignment="1">
      <alignment horizontal="right" vertical="top"/>
    </xf>
    <xf numFmtId="0" fontId="7" fillId="3" borderId="0" xfId="0" applyFont="1" applyFill="1" applyAlignment="1">
      <alignment horizontal="right" vertical="top"/>
    </xf>
    <xf numFmtId="166" fontId="112" fillId="3" borderId="0" xfId="0" applyNumberFormat="1" applyFont="1" applyFill="1" applyBorder="1" applyAlignment="1">
      <alignment horizontal="center" vertical="center"/>
    </xf>
    <xf numFmtId="0" fontId="7" fillId="3" borderId="0" xfId="0" applyFont="1" applyFill="1" applyAlignment="1">
      <alignment horizontal="center" vertical="center"/>
    </xf>
    <xf numFmtId="0" fontId="111" fillId="3" borderId="0" xfId="0" applyFont="1" applyFill="1" applyAlignment="1">
      <alignment horizontal="center" vertical="center"/>
    </xf>
    <xf numFmtId="0" fontId="110" fillId="3" borderId="0" xfId="0" applyFont="1" applyFill="1" applyAlignment="1">
      <alignment horizontal="center" vertical="top"/>
    </xf>
    <xf numFmtId="0" fontId="110" fillId="3" borderId="0" xfId="0" applyFont="1" applyFill="1" applyAlignment="1">
      <alignment horizontal="right" vertical="top"/>
    </xf>
    <xf numFmtId="0" fontId="93" fillId="2" borderId="0" xfId="4" applyFont="1" applyFill="1" applyAlignment="1">
      <alignment horizontal="left"/>
    </xf>
    <xf numFmtId="0" fontId="101" fillId="2" borderId="0" xfId="4" applyFont="1" applyFill="1" applyAlignment="1">
      <alignment horizontal="left" vertical="top"/>
    </xf>
    <xf numFmtId="0" fontId="72" fillId="36" borderId="18" xfId="0" applyFont="1" applyFill="1" applyBorder="1"/>
    <xf numFmtId="0" fontId="7" fillId="36" borderId="7" xfId="0" applyFont="1" applyFill="1" applyBorder="1"/>
    <xf numFmtId="166" fontId="15" fillId="36" borderId="13" xfId="0" applyNumberFormat="1" applyFont="1" applyFill="1" applyBorder="1" applyAlignment="1">
      <alignment horizontal="right" vertical="top"/>
    </xf>
    <xf numFmtId="0" fontId="72" fillId="36" borderId="5" xfId="0" applyFont="1" applyFill="1" applyBorder="1"/>
    <xf numFmtId="0" fontId="7" fillId="36" borderId="0" xfId="0" applyFont="1" applyFill="1" applyBorder="1"/>
    <xf numFmtId="166" fontId="15" fillId="36" borderId="15" xfId="0" applyNumberFormat="1" applyFont="1" applyFill="1" applyBorder="1" applyAlignment="1">
      <alignment horizontal="right" vertical="top"/>
    </xf>
    <xf numFmtId="0" fontId="72" fillId="36" borderId="17" xfId="0" applyFont="1" applyFill="1" applyBorder="1"/>
    <xf numFmtId="0" fontId="7" fillId="36" borderId="37" xfId="0" applyFont="1" applyFill="1" applyBorder="1"/>
    <xf numFmtId="166" fontId="15" fillId="36" borderId="19" xfId="0" applyNumberFormat="1" applyFont="1" applyFill="1" applyBorder="1" applyAlignment="1">
      <alignment horizontal="right" vertical="top"/>
    </xf>
    <xf numFmtId="0" fontId="72" fillId="37" borderId="18" xfId="0" applyFont="1" applyFill="1" applyBorder="1"/>
    <xf numFmtId="0" fontId="7" fillId="37" borderId="7" xfId="0" applyFont="1" applyFill="1" applyBorder="1"/>
    <xf numFmtId="3" fontId="15" fillId="37" borderId="13" xfId="0" applyNumberFormat="1" applyFont="1" applyFill="1" applyBorder="1" applyAlignment="1">
      <alignment horizontal="right" vertical="center"/>
    </xf>
    <xf numFmtId="0" fontId="72" fillId="37" borderId="5" xfId="0" applyFont="1" applyFill="1" applyBorder="1"/>
    <xf numFmtId="0" fontId="7" fillId="37" borderId="0" xfId="0" applyFont="1" applyFill="1" applyBorder="1"/>
    <xf numFmtId="166" fontId="15" fillId="37" borderId="15" xfId="0" applyNumberFormat="1" applyFont="1" applyFill="1" applyBorder="1" applyAlignment="1">
      <alignment horizontal="right" vertical="top"/>
    </xf>
    <xf numFmtId="0" fontId="72" fillId="37" borderId="17" xfId="0" applyFont="1" applyFill="1" applyBorder="1"/>
    <xf numFmtId="0" fontId="7" fillId="37" borderId="37" xfId="0" applyFont="1" applyFill="1" applyBorder="1"/>
    <xf numFmtId="166" fontId="15" fillId="37" borderId="19" xfId="0" applyNumberFormat="1" applyFont="1" applyFill="1" applyBorder="1" applyAlignment="1">
      <alignment horizontal="right" vertical="top"/>
    </xf>
    <xf numFmtId="0" fontId="72" fillId="38" borderId="18" xfId="0" applyFont="1" applyFill="1" applyBorder="1"/>
    <xf numFmtId="0" fontId="7" fillId="38" borderId="7" xfId="0" applyFont="1" applyFill="1" applyBorder="1"/>
    <xf numFmtId="3" fontId="15" fillId="38" borderId="13" xfId="0" applyNumberFormat="1" applyFont="1" applyFill="1" applyBorder="1" applyAlignment="1">
      <alignment horizontal="right" vertical="top"/>
    </xf>
    <xf numFmtId="0" fontId="72" fillId="38" borderId="17" xfId="0" applyFont="1" applyFill="1" applyBorder="1"/>
    <xf numFmtId="0" fontId="7" fillId="38" borderId="37" xfId="0" applyFont="1" applyFill="1" applyBorder="1"/>
    <xf numFmtId="166" fontId="15" fillId="38" borderId="19" xfId="0" applyNumberFormat="1" applyFont="1" applyFill="1" applyBorder="1" applyAlignment="1">
      <alignment horizontal="right" vertical="top"/>
    </xf>
    <xf numFmtId="0" fontId="72" fillId="39" borderId="18" xfId="0" applyFont="1" applyFill="1" applyBorder="1"/>
    <xf numFmtId="0" fontId="7" fillId="39" borderId="7" xfId="0" applyFont="1" applyFill="1" applyBorder="1"/>
    <xf numFmtId="0" fontId="72" fillId="39" borderId="5" xfId="0" applyFont="1" applyFill="1" applyBorder="1"/>
    <xf numFmtId="0" fontId="7" fillId="39" borderId="0" xfId="0" applyFont="1" applyFill="1" applyBorder="1"/>
    <xf numFmtId="0" fontId="72" fillId="39" borderId="17" xfId="0" applyFont="1" applyFill="1" applyBorder="1"/>
    <xf numFmtId="0" fontId="7" fillId="39" borderId="37" xfId="0" applyFont="1" applyFill="1" applyBorder="1"/>
    <xf numFmtId="0" fontId="114" fillId="0" borderId="0" xfId="3" applyFont="1" applyAlignment="1">
      <alignment horizontal="left"/>
    </xf>
    <xf numFmtId="1" fontId="36" fillId="24" borderId="34" xfId="0" applyNumberFormat="1" applyFont="1" applyFill="1" applyBorder="1" applyAlignment="1">
      <alignment horizontal="center" vertical="top"/>
    </xf>
    <xf numFmtId="0" fontId="37" fillId="0" borderId="0" xfId="3"/>
    <xf numFmtId="0" fontId="113" fillId="3" borderId="0" xfId="0" applyFont="1" applyFill="1" applyAlignment="1">
      <alignment horizontal="center" vertical="top"/>
    </xf>
    <xf numFmtId="0" fontId="115" fillId="24" borderId="34" xfId="0" applyFont="1" applyFill="1" applyBorder="1" applyAlignment="1">
      <alignment horizontal="center" vertical="top"/>
    </xf>
    <xf numFmtId="1" fontId="7" fillId="14" borderId="0" xfId="0" applyNumberFormat="1" applyFont="1" applyFill="1" applyAlignment="1">
      <alignment horizontal="center" vertical="top"/>
    </xf>
    <xf numFmtId="164" fontId="7" fillId="14" borderId="0" xfId="0" applyNumberFormat="1" applyFont="1" applyFill="1" applyAlignment="1">
      <alignment horizontal="center" vertical="top"/>
    </xf>
    <xf numFmtId="0" fontId="36" fillId="35" borderId="32" xfId="0" applyFont="1" applyFill="1" applyBorder="1" applyAlignment="1">
      <alignment horizontal="center" vertical="top"/>
    </xf>
    <xf numFmtId="0" fontId="36" fillId="35" borderId="33" xfId="0" applyFont="1" applyFill="1" applyBorder="1" applyAlignment="1">
      <alignment horizontal="center" vertical="top"/>
    </xf>
    <xf numFmtId="0" fontId="36" fillId="35" borderId="34" xfId="0" applyFont="1" applyFill="1" applyBorder="1" applyAlignment="1">
      <alignment horizontal="center" vertical="top"/>
    </xf>
    <xf numFmtId="0" fontId="36" fillId="35" borderId="11" xfId="0" applyFont="1" applyFill="1" applyBorder="1" applyAlignment="1">
      <alignment horizontal="center" vertical="top"/>
    </xf>
    <xf numFmtId="0" fontId="36" fillId="35" borderId="0" xfId="0" applyFont="1" applyFill="1" applyBorder="1" applyAlignment="1">
      <alignment horizontal="center" vertical="top"/>
    </xf>
    <xf numFmtId="0" fontId="111" fillId="12" borderId="0" xfId="0" applyFont="1" applyFill="1" applyAlignment="1">
      <alignment horizontal="center" vertical="center"/>
    </xf>
    <xf numFmtId="0" fontId="101" fillId="2" borderId="0" xfId="4" applyFont="1" applyFill="1" applyAlignment="1">
      <alignment horizontal="left" wrapText="1"/>
    </xf>
    <xf numFmtId="0" fontId="0" fillId="0" borderId="0" xfId="0" applyAlignment="1">
      <alignment horizontal="left" wrapText="1"/>
    </xf>
    <xf numFmtId="0" fontId="28" fillId="2" borderId="0" xfId="4" applyFont="1" applyFill="1" applyAlignment="1">
      <alignment horizontal="left" wrapText="1"/>
    </xf>
    <xf numFmtId="0" fontId="28" fillId="0" borderId="0" xfId="4" applyFont="1" applyAlignment="1">
      <alignment horizontal="left" wrapText="1"/>
    </xf>
    <xf numFmtId="172" fontId="101" fillId="2" borderId="0" xfId="4" applyNumberFormat="1" applyFont="1" applyFill="1" applyAlignment="1">
      <alignment horizontal="left"/>
    </xf>
    <xf numFmtId="0" fontId="108" fillId="2" borderId="0" xfId="4" applyFont="1" applyFill="1" applyAlignment="1">
      <alignment horizontal="center" wrapText="1"/>
    </xf>
    <xf numFmtId="0" fontId="101" fillId="2" borderId="0" xfId="4" applyFont="1" applyFill="1" applyAlignment="1">
      <alignment horizontal="left" vertical="top" wrapText="1"/>
    </xf>
    <xf numFmtId="0" fontId="0" fillId="0" borderId="0" xfId="0" applyAlignment="1">
      <alignment horizontal="left" vertical="top" wrapText="1"/>
    </xf>
    <xf numFmtId="0" fontId="111" fillId="35" borderId="11" xfId="0" applyFont="1" applyFill="1" applyBorder="1" applyAlignment="1">
      <alignment horizontal="center" vertical="top"/>
    </xf>
    <xf numFmtId="0" fontId="111" fillId="35" borderId="0" xfId="0" applyFont="1" applyFill="1" applyBorder="1" applyAlignment="1">
      <alignment horizontal="center" vertical="top"/>
    </xf>
    <xf numFmtId="164" fontId="98" fillId="12" borderId="0" xfId="0" applyNumberFormat="1" applyFont="1" applyFill="1" applyBorder="1" applyAlignment="1">
      <alignment horizontal="center" vertical="center" wrapText="1"/>
    </xf>
    <xf numFmtId="164" fontId="98" fillId="31" borderId="0" xfId="0" applyNumberFormat="1" applyFont="1" applyFill="1" applyBorder="1" applyAlignment="1">
      <alignment horizontal="center" vertical="center" wrapText="1"/>
    </xf>
    <xf numFmtId="164" fontId="78" fillId="8" borderId="32" xfId="0" applyNumberFormat="1" applyFont="1" applyFill="1" applyBorder="1" applyAlignment="1">
      <alignment horizontal="center" vertical="center" wrapText="1"/>
    </xf>
    <xf numFmtId="164" fontId="78" fillId="8" borderId="34" xfId="0" applyNumberFormat="1" applyFont="1" applyFill="1" applyBorder="1" applyAlignment="1">
      <alignment horizontal="center" vertical="center" wrapText="1"/>
    </xf>
    <xf numFmtId="164" fontId="96" fillId="3" borderId="0" xfId="0" applyNumberFormat="1" applyFont="1" applyFill="1" applyBorder="1" applyAlignment="1">
      <alignment horizontal="left" vertical="center"/>
    </xf>
    <xf numFmtId="164" fontId="35" fillId="3" borderId="0" xfId="0" applyNumberFormat="1" applyFont="1" applyFill="1" applyBorder="1" applyAlignment="1">
      <alignment horizontal="left" vertical="center"/>
    </xf>
    <xf numFmtId="0" fontId="82" fillId="3" borderId="0" xfId="0" applyFont="1" applyFill="1" applyBorder="1" applyAlignment="1">
      <alignment horizontal="center"/>
    </xf>
    <xf numFmtId="164" fontId="79" fillId="3" borderId="0" xfId="0" applyNumberFormat="1" applyFont="1" applyFill="1" applyBorder="1" applyAlignment="1">
      <alignment horizontal="right" vertical="center"/>
    </xf>
    <xf numFmtId="0" fontId="94" fillId="3" borderId="0" xfId="0" applyFont="1" applyFill="1" applyBorder="1" applyAlignment="1">
      <alignment horizontal="center" vertical="center"/>
    </xf>
    <xf numFmtId="164" fontId="98" fillId="30" borderId="0" xfId="0" applyNumberFormat="1" applyFont="1" applyFill="1" applyBorder="1" applyAlignment="1">
      <alignment horizontal="right" vertical="center"/>
    </xf>
    <xf numFmtId="164" fontId="98" fillId="30" borderId="0" xfId="0" applyNumberFormat="1" applyFont="1" applyFill="1" applyBorder="1" applyAlignment="1">
      <alignment horizontal="left" vertical="center"/>
    </xf>
    <xf numFmtId="164" fontId="98" fillId="12" borderId="0" xfId="0" applyNumberFormat="1" applyFont="1" applyFill="1" applyBorder="1" applyAlignment="1">
      <alignment horizontal="center" vertical="center"/>
    </xf>
    <xf numFmtId="164" fontId="14" fillId="3" borderId="11" xfId="0" applyNumberFormat="1" applyFont="1" applyFill="1" applyBorder="1" applyAlignment="1">
      <alignment horizontal="right" vertical="center"/>
    </xf>
    <xf numFmtId="0" fontId="23" fillId="3" borderId="0" xfId="0" applyFont="1" applyFill="1" applyBorder="1" applyAlignment="1">
      <alignment horizontal="right" vertical="center"/>
    </xf>
    <xf numFmtId="0" fontId="9" fillId="4" borderId="2"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4" borderId="32" xfId="0" applyFont="1" applyFill="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164" fontId="14" fillId="3" borderId="6" xfId="0" applyNumberFormat="1" applyFont="1" applyFill="1" applyBorder="1" applyAlignment="1">
      <alignment horizontal="right" vertical="center"/>
    </xf>
    <xf numFmtId="0" fontId="23" fillId="3" borderId="35" xfId="0" applyFont="1" applyFill="1" applyBorder="1" applyAlignment="1">
      <alignment horizontal="right" vertical="center"/>
    </xf>
    <xf numFmtId="0" fontId="86" fillId="3" borderId="32" xfId="0" applyFont="1" applyFill="1" applyBorder="1" applyAlignment="1">
      <alignment horizontal="center" vertical="center"/>
    </xf>
    <xf numFmtId="0" fontId="31" fillId="3" borderId="33" xfId="0" applyFont="1" applyFill="1" applyBorder="1" applyAlignment="1">
      <alignment horizontal="center" vertical="center"/>
    </xf>
    <xf numFmtId="0" fontId="31" fillId="3" borderId="34" xfId="0" applyFont="1" applyFill="1" applyBorder="1" applyAlignment="1">
      <alignment horizontal="center" vertical="center"/>
    </xf>
    <xf numFmtId="164" fontId="14" fillId="3" borderId="25" xfId="0" applyNumberFormat="1" applyFont="1" applyFill="1" applyBorder="1" applyAlignment="1">
      <alignment horizontal="right" vertical="center"/>
    </xf>
    <xf numFmtId="0" fontId="23" fillId="3" borderId="28" xfId="0" applyFont="1" applyFill="1" applyBorder="1" applyAlignment="1">
      <alignment horizontal="right" vertical="center"/>
    </xf>
    <xf numFmtId="0" fontId="14" fillId="3" borderId="23" xfId="0" applyFont="1" applyFill="1" applyBorder="1" applyAlignment="1">
      <alignment horizontal="right" vertical="center"/>
    </xf>
    <xf numFmtId="0" fontId="0" fillId="0" borderId="24" xfId="0" applyBorder="1" applyAlignment="1">
      <alignment horizontal="right" vertical="center"/>
    </xf>
    <xf numFmtId="3" fontId="67" fillId="3" borderId="44" xfId="0" applyNumberFormat="1" applyFont="1" applyFill="1" applyBorder="1" applyAlignment="1">
      <alignment horizontal="center" vertical="top"/>
    </xf>
    <xf numFmtId="3" fontId="67" fillId="3" borderId="53" xfId="0" applyNumberFormat="1" applyFont="1" applyFill="1" applyBorder="1" applyAlignment="1">
      <alignment horizontal="center" vertical="top"/>
    </xf>
    <xf numFmtId="3" fontId="67" fillId="3" borderId="24" xfId="0" applyNumberFormat="1" applyFont="1" applyFill="1" applyBorder="1" applyAlignment="1">
      <alignment horizontal="center" vertical="top"/>
    </xf>
    <xf numFmtId="0" fontId="89" fillId="25" borderId="17" xfId="0" applyFont="1" applyFill="1" applyBorder="1" applyAlignment="1">
      <alignment horizontal="center" vertical="center"/>
    </xf>
    <xf numFmtId="0" fontId="89" fillId="25" borderId="19" xfId="0" applyFont="1" applyFill="1" applyBorder="1" applyAlignment="1">
      <alignment horizontal="center" vertical="center"/>
    </xf>
    <xf numFmtId="0" fontId="88" fillId="3" borderId="0" xfId="0" applyFont="1" applyFill="1" applyAlignment="1">
      <alignment horizontal="center" vertical="center" wrapText="1"/>
    </xf>
    <xf numFmtId="0" fontId="64" fillId="8" borderId="18" xfId="0" applyFont="1" applyFill="1" applyBorder="1" applyAlignment="1">
      <alignment horizontal="center" vertical="top"/>
    </xf>
    <xf numFmtId="0" fontId="64" fillId="8" borderId="7" xfId="0" applyFont="1" applyFill="1" applyBorder="1" applyAlignment="1">
      <alignment horizontal="center" vertical="top"/>
    </xf>
    <xf numFmtId="0" fontId="64" fillId="8" borderId="13" xfId="0" applyFont="1" applyFill="1" applyBorder="1" applyAlignment="1">
      <alignment horizontal="center" vertical="top"/>
    </xf>
    <xf numFmtId="14" fontId="64" fillId="8" borderId="5" xfId="0" applyNumberFormat="1" applyFont="1" applyFill="1" applyBorder="1" applyAlignment="1">
      <alignment horizontal="center" vertical="top"/>
    </xf>
    <xf numFmtId="14" fontId="64" fillId="8" borderId="0" xfId="0" applyNumberFormat="1" applyFont="1" applyFill="1" applyAlignment="1">
      <alignment horizontal="center" vertical="top"/>
    </xf>
    <xf numFmtId="14" fontId="64" fillId="8" borderId="15" xfId="0" applyNumberFormat="1" applyFont="1" applyFill="1" applyBorder="1" applyAlignment="1">
      <alignment horizontal="center" vertical="top"/>
    </xf>
    <xf numFmtId="0" fontId="64" fillId="8" borderId="17" xfId="0" applyFont="1" applyFill="1" applyBorder="1" applyAlignment="1">
      <alignment horizontal="center" vertical="top"/>
    </xf>
    <xf numFmtId="0" fontId="64" fillId="8" borderId="37" xfId="0" applyFont="1" applyFill="1" applyBorder="1" applyAlignment="1">
      <alignment horizontal="center" vertical="top"/>
    </xf>
    <xf numFmtId="0" fontId="64" fillId="8" borderId="19" xfId="0" applyFont="1" applyFill="1" applyBorder="1" applyAlignment="1">
      <alignment horizontal="center" vertical="top"/>
    </xf>
    <xf numFmtId="3" fontId="15" fillId="39" borderId="13" xfId="0" applyNumberFormat="1" applyFont="1" applyFill="1" applyBorder="1" applyAlignment="1">
      <alignment horizontal="center" vertical="center"/>
    </xf>
    <xf numFmtId="3" fontId="15" fillId="39" borderId="15" xfId="0" applyNumberFormat="1" applyFont="1" applyFill="1" applyBorder="1" applyAlignment="1">
      <alignment horizontal="center" vertical="center"/>
    </xf>
    <xf numFmtId="3" fontId="15" fillId="39" borderId="19" xfId="0" applyNumberFormat="1" applyFont="1" applyFill="1" applyBorder="1" applyAlignment="1">
      <alignment horizontal="center" vertical="center"/>
    </xf>
  </cellXfs>
  <cellStyles count="6">
    <cellStyle name="Komma" xfId="1" builtinId="3"/>
    <cellStyle name="Link" xfId="3" builtinId="8"/>
    <cellStyle name="Prozent" xfId="2" builtinId="5"/>
    <cellStyle name="Prozent 2" xfId="5" xr:uid="{7C0A70BC-4A82-460C-8555-2386243521EC}"/>
    <cellStyle name="Standard" xfId="0" builtinId="0"/>
    <cellStyle name="Standard 2" xfId="4" xr:uid="{9EC0158B-191B-477D-8A28-F41E2FAFE9A9}"/>
  </cellStyles>
  <dxfs count="7">
    <dxf>
      <fill>
        <patternFill>
          <bgColor rgb="FF92D050"/>
        </patternFill>
      </fill>
    </dxf>
    <dxf>
      <font>
        <color rgb="FF006100"/>
      </font>
      <fill>
        <patternFill>
          <bgColor rgb="FFC6EFCE"/>
        </patternFill>
      </fill>
    </dxf>
    <dxf>
      <fill>
        <patternFill>
          <bgColor rgb="FF92D05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CC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3.2485370606799562E-2"/>
          <c:y val="0.19534886264216972"/>
          <c:w val="0.93617429480788095"/>
          <c:h val="0.77922281201244104"/>
        </c:manualLayout>
      </c:layout>
      <c:scatterChart>
        <c:scatterStyle val="lineMarker"/>
        <c:varyColors val="0"/>
        <c:ser>
          <c:idx val="0"/>
          <c:order val="0"/>
          <c:tx>
            <c:v>asc ao rupt risk</c:v>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9260104986876639"/>
                  <c:y val="8.8425925925925929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rendlineLbl>
          </c:trendline>
          <c:trendline>
            <c:spPr>
              <a:ln w="19050" cap="rnd">
                <a:solidFill>
                  <a:schemeClr val="accent1"/>
                </a:solidFill>
                <a:prstDash val="sysDot"/>
              </a:ln>
              <a:effectLst/>
            </c:spPr>
            <c:trendlineType val="linear"/>
            <c:dispRSqr val="0"/>
            <c:dispEq val="0"/>
          </c:trendline>
          <c:xVal>
            <c:numLit>
              <c:formatCode>General</c:formatCode>
              <c:ptCount val="4"/>
              <c:pt idx="0">
                <c:v>3.7</c:v>
              </c:pt>
              <c:pt idx="1">
                <c:v>4.5</c:v>
              </c:pt>
              <c:pt idx="2">
                <c:v>5.5</c:v>
              </c:pt>
              <c:pt idx="3">
                <c:v>6.5</c:v>
              </c:pt>
            </c:numLit>
          </c:xVal>
          <c:yVal>
            <c:numLit>
              <c:formatCode>General</c:formatCode>
              <c:ptCount val="4"/>
              <c:pt idx="0">
                <c:v>0</c:v>
              </c:pt>
              <c:pt idx="1">
                <c:v>4</c:v>
              </c:pt>
              <c:pt idx="2">
                <c:v>8</c:v>
              </c:pt>
              <c:pt idx="3">
                <c:v>17</c:v>
              </c:pt>
            </c:numLit>
          </c:yVal>
          <c:smooth val="0"/>
          <c:extLst>
            <c:ext xmlns:c16="http://schemas.microsoft.com/office/drawing/2014/chart" uri="{C3380CC4-5D6E-409C-BE32-E72D297353CC}">
              <c16:uniqueId val="{00000002-048A-4C02-B27C-711FDBA1924F}"/>
            </c:ext>
          </c:extLst>
        </c:ser>
        <c:dLbls>
          <c:showLegendKey val="0"/>
          <c:showVal val="0"/>
          <c:showCatName val="0"/>
          <c:showSerName val="0"/>
          <c:showPercent val="0"/>
          <c:showBubbleSize val="0"/>
        </c:dLbls>
        <c:axId val="154637328"/>
        <c:axId val="147886352"/>
      </c:scatterChart>
      <c:valAx>
        <c:axId val="154637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7886352"/>
        <c:crosses val="autoZero"/>
        <c:crossBetween val="midCat"/>
      </c:valAx>
      <c:valAx>
        <c:axId val="147886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463732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3.2485370606799562E-2"/>
          <c:y val="0.19534886264216972"/>
          <c:w val="0.93617429480788095"/>
          <c:h val="0.77922281201244104"/>
        </c:manualLayout>
      </c:layout>
      <c:scatterChart>
        <c:scatterStyle val="lineMarker"/>
        <c:varyColors val="0"/>
        <c:ser>
          <c:idx val="0"/>
          <c:order val="0"/>
          <c:tx>
            <c:v>asc ao rupt risk</c:v>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9260104986876639"/>
                  <c:y val="8.8425925925925929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rendlineLbl>
          </c:trendline>
          <c:trendline>
            <c:spPr>
              <a:ln w="19050" cap="rnd">
                <a:solidFill>
                  <a:schemeClr val="accent1"/>
                </a:solidFill>
                <a:prstDash val="sysDot"/>
              </a:ln>
              <a:effectLst/>
            </c:spPr>
            <c:trendlineType val="linear"/>
            <c:dispRSqr val="0"/>
            <c:dispEq val="0"/>
          </c:trendline>
          <c:xVal>
            <c:numLit>
              <c:formatCode>General</c:formatCode>
              <c:ptCount val="4"/>
              <c:pt idx="0">
                <c:v>3.7</c:v>
              </c:pt>
              <c:pt idx="1">
                <c:v>4.5</c:v>
              </c:pt>
              <c:pt idx="2">
                <c:v>5.5</c:v>
              </c:pt>
              <c:pt idx="3">
                <c:v>6.5</c:v>
              </c:pt>
            </c:numLit>
          </c:xVal>
          <c:yVal>
            <c:numLit>
              <c:formatCode>General</c:formatCode>
              <c:ptCount val="4"/>
              <c:pt idx="0">
                <c:v>0</c:v>
              </c:pt>
              <c:pt idx="1">
                <c:v>4</c:v>
              </c:pt>
              <c:pt idx="2">
                <c:v>8</c:v>
              </c:pt>
              <c:pt idx="3">
                <c:v>17</c:v>
              </c:pt>
            </c:numLit>
          </c:yVal>
          <c:smooth val="0"/>
          <c:extLst>
            <c:ext xmlns:c16="http://schemas.microsoft.com/office/drawing/2014/chart" uri="{C3380CC4-5D6E-409C-BE32-E72D297353CC}">
              <c16:uniqueId val="{00000002-C5F9-47D2-B427-D3BDB4C47EBE}"/>
            </c:ext>
          </c:extLst>
        </c:ser>
        <c:dLbls>
          <c:showLegendKey val="0"/>
          <c:showVal val="0"/>
          <c:showCatName val="0"/>
          <c:showSerName val="0"/>
          <c:showPercent val="0"/>
          <c:showBubbleSize val="0"/>
        </c:dLbls>
        <c:axId val="154637328"/>
        <c:axId val="147886352"/>
      </c:scatterChart>
      <c:valAx>
        <c:axId val="154637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7886352"/>
        <c:crosses val="autoZero"/>
        <c:crossBetween val="midCat"/>
      </c:valAx>
      <c:valAx>
        <c:axId val="147886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463732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Atorvastatin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1"/>
            <c:dispEq val="1"/>
            <c:trendlineLbl>
              <c:layout>
                <c:manualLayout>
                  <c:x val="9.169218431029455E-2"/>
                  <c:y val="0.2364006999125109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rendlineLbl>
          </c:trendline>
          <c:xVal>
            <c:numLit>
              <c:formatCode>General</c:formatCode>
              <c:ptCount val="6"/>
              <c:pt idx="0">
                <c:v>10</c:v>
              </c:pt>
              <c:pt idx="1">
                <c:v>15</c:v>
              </c:pt>
              <c:pt idx="3">
                <c:v>29</c:v>
              </c:pt>
              <c:pt idx="4">
                <c:v>40</c:v>
              </c:pt>
              <c:pt idx="5">
                <c:v>70</c:v>
              </c:pt>
            </c:numLit>
          </c:xVal>
          <c:yVal>
            <c:numLit>
              <c:formatCode>General</c:formatCode>
              <c:ptCount val="6"/>
              <c:pt idx="0">
                <c:v>36</c:v>
              </c:pt>
              <c:pt idx="1">
                <c:v>39</c:v>
              </c:pt>
              <c:pt idx="3">
                <c:v>44</c:v>
              </c:pt>
              <c:pt idx="4">
                <c:v>46</c:v>
              </c:pt>
              <c:pt idx="5">
                <c:v>50</c:v>
              </c:pt>
            </c:numLit>
          </c:yVal>
          <c:smooth val="0"/>
          <c:extLst>
            <c:ext xmlns:c16="http://schemas.microsoft.com/office/drawing/2014/chart" uri="{C3380CC4-5D6E-409C-BE32-E72D297353CC}">
              <c16:uniqueId val="{00000001-D801-48D1-ADFB-C25C91DD78FC}"/>
            </c:ext>
          </c:extLst>
        </c:ser>
        <c:dLbls>
          <c:showLegendKey val="0"/>
          <c:showVal val="0"/>
          <c:showCatName val="0"/>
          <c:showSerName val="0"/>
          <c:showPercent val="0"/>
          <c:showBubbleSize val="0"/>
        </c:dLbls>
        <c:axId val="546676984"/>
        <c:axId val="546677376"/>
      </c:scatterChart>
      <c:valAx>
        <c:axId val="546676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6677376"/>
        <c:crosses val="autoZero"/>
        <c:crossBetween val="midCat"/>
      </c:valAx>
      <c:valAx>
        <c:axId val="546677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66769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Rosuvastatin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5.933923884514436E-2"/>
                  <c:y val="0.2912500000000000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rendlineLbl>
          </c:trendline>
          <c:xVal>
            <c:numLit>
              <c:formatCode>General</c:formatCode>
              <c:ptCount val="6"/>
              <c:pt idx="0">
                <c:v>5</c:v>
              </c:pt>
              <c:pt idx="2">
                <c:v>10</c:v>
              </c:pt>
              <c:pt idx="4">
                <c:v>20</c:v>
              </c:pt>
              <c:pt idx="5">
                <c:v>40</c:v>
              </c:pt>
            </c:numLit>
          </c:xVal>
          <c:yVal>
            <c:numLit>
              <c:formatCode>General</c:formatCode>
              <c:ptCount val="6"/>
              <c:pt idx="0">
                <c:v>39</c:v>
              </c:pt>
              <c:pt idx="2">
                <c:v>44</c:v>
              </c:pt>
              <c:pt idx="4">
                <c:v>50</c:v>
              </c:pt>
              <c:pt idx="5">
                <c:v>55</c:v>
              </c:pt>
            </c:numLit>
          </c:yVal>
          <c:smooth val="0"/>
          <c:extLst>
            <c:ext xmlns:c16="http://schemas.microsoft.com/office/drawing/2014/chart" uri="{C3380CC4-5D6E-409C-BE32-E72D297353CC}">
              <c16:uniqueId val="{00000001-9D87-437F-8A8A-4E3F5C9771F2}"/>
            </c:ext>
          </c:extLst>
        </c:ser>
        <c:dLbls>
          <c:showLegendKey val="0"/>
          <c:showVal val="0"/>
          <c:showCatName val="0"/>
          <c:showSerName val="0"/>
          <c:showPercent val="0"/>
          <c:showBubbleSize val="0"/>
        </c:dLbls>
        <c:axId val="546678160"/>
        <c:axId val="538915864"/>
      </c:scatterChart>
      <c:valAx>
        <c:axId val="546678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38915864"/>
        <c:crosses val="autoZero"/>
        <c:crossBetween val="midCat"/>
      </c:valAx>
      <c:valAx>
        <c:axId val="538915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66781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CH" sz="2400"/>
              <a:t>Time and monetization effects on cost per QALY</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HTA!$L$15</c:f>
              <c:strCache>
                <c:ptCount val="1"/>
                <c:pt idx="0">
                  <c:v>Atorva 40 mg</c:v>
                </c:pt>
              </c:strCache>
            </c:strRef>
          </c:tx>
          <c:spPr>
            <a:solidFill>
              <a:schemeClr val="accent1"/>
            </a:solidFill>
            <a:ln>
              <a:noFill/>
            </a:ln>
            <a:effectLst/>
          </c:spPr>
          <c:invertIfNegative val="0"/>
          <c:dLbls>
            <c:delete val="1"/>
          </c:dLbls>
          <c:cat>
            <c:strRef>
              <c:f>HTA!$K$16:$K$23</c:f>
              <c:strCache>
                <c:ptCount val="8"/>
                <c:pt idx="0">
                  <c:v>SMB 5 y</c:v>
                </c:pt>
                <c:pt idx="1">
                  <c:v>SMB 10 y</c:v>
                </c:pt>
                <c:pt idx="2">
                  <c:v>SMB 15 y</c:v>
                </c:pt>
                <c:pt idx="3">
                  <c:v>SMB 20 y</c:v>
                </c:pt>
                <c:pt idx="4">
                  <c:v>SCL 5 y</c:v>
                </c:pt>
                <c:pt idx="5">
                  <c:v>SCL 10 y</c:v>
                </c:pt>
                <c:pt idx="6">
                  <c:v>SCL 15 y</c:v>
                </c:pt>
                <c:pt idx="7">
                  <c:v>SCL 20 y</c:v>
                </c:pt>
              </c:strCache>
            </c:strRef>
          </c:cat>
          <c:val>
            <c:numRef>
              <c:f>HTA!$L$16:$L$23</c:f>
              <c:numCache>
                <c:formatCode>#,##0</c:formatCode>
                <c:ptCount val="8"/>
                <c:pt idx="0">
                  <c:v>-6866.1157095643293</c:v>
                </c:pt>
                <c:pt idx="1">
                  <c:v>-11668.351972429222</c:v>
                </c:pt>
                <c:pt idx="2">
                  <c:v>-13269.097393384185</c:v>
                </c:pt>
                <c:pt idx="3">
                  <c:v>-14069.470103861668</c:v>
                </c:pt>
                <c:pt idx="4">
                  <c:v>-69647.292180152552</c:v>
                </c:pt>
                <c:pt idx="5">
                  <c:v>-50964.822560664521</c:v>
                </c:pt>
                <c:pt idx="6">
                  <c:v>-44737.332687501832</c:v>
                </c:pt>
                <c:pt idx="7">
                  <c:v>-41623.587750920487</c:v>
                </c:pt>
              </c:numCache>
            </c:numRef>
          </c:val>
          <c:extLst>
            <c:ext xmlns:c16="http://schemas.microsoft.com/office/drawing/2014/chart" uri="{C3380CC4-5D6E-409C-BE32-E72D297353CC}">
              <c16:uniqueId val="{00000000-D20C-4333-A15E-E25FF0653716}"/>
            </c:ext>
          </c:extLst>
        </c:ser>
        <c:ser>
          <c:idx val="1"/>
          <c:order val="1"/>
          <c:tx>
            <c:strRef>
              <c:f>HTA!$M$15</c:f>
              <c:strCache>
                <c:ptCount val="1"/>
                <c:pt idx="0">
                  <c:v>Rosuva 20 mg</c:v>
                </c:pt>
              </c:strCache>
            </c:strRef>
          </c:tx>
          <c:spPr>
            <a:solidFill>
              <a:schemeClr val="accent2"/>
            </a:solidFill>
            <a:ln>
              <a:noFill/>
            </a:ln>
            <a:effectLst/>
          </c:spPr>
          <c:invertIfNegative val="0"/>
          <c:dLbls>
            <c:delete val="1"/>
          </c:dLbls>
          <c:cat>
            <c:strRef>
              <c:f>HTA!$K$16:$K$23</c:f>
              <c:strCache>
                <c:ptCount val="8"/>
                <c:pt idx="0">
                  <c:v>SMB 5 y</c:v>
                </c:pt>
                <c:pt idx="1">
                  <c:v>SMB 10 y</c:v>
                </c:pt>
                <c:pt idx="2">
                  <c:v>SMB 15 y</c:v>
                </c:pt>
                <c:pt idx="3">
                  <c:v>SMB 20 y</c:v>
                </c:pt>
                <c:pt idx="4">
                  <c:v>SCL 5 y</c:v>
                </c:pt>
                <c:pt idx="5">
                  <c:v>SCL 10 y</c:v>
                </c:pt>
                <c:pt idx="6">
                  <c:v>SCL 15 y</c:v>
                </c:pt>
                <c:pt idx="7">
                  <c:v>SCL 20 y</c:v>
                </c:pt>
              </c:strCache>
            </c:strRef>
          </c:cat>
          <c:val>
            <c:numRef>
              <c:f>HTA!$M$16:$M$23</c:f>
              <c:numCache>
                <c:formatCode>#,##0</c:formatCode>
                <c:ptCount val="8"/>
                <c:pt idx="0">
                  <c:v>3014.4700380435006</c:v>
                </c:pt>
                <c:pt idx="1">
                  <c:v>-6728.0590986253101</c:v>
                </c:pt>
                <c:pt idx="2">
                  <c:v>-9975.5688108482409</c:v>
                </c:pt>
                <c:pt idx="3">
                  <c:v>-11599.323666959717</c:v>
                </c:pt>
                <c:pt idx="4">
                  <c:v>-59766.706432544728</c:v>
                </c:pt>
                <c:pt idx="5">
                  <c:v>-46024.529686860602</c:v>
                </c:pt>
                <c:pt idx="6">
                  <c:v>-41443.804104965893</c:v>
                </c:pt>
                <c:pt idx="7">
                  <c:v>-39153.441314018535</c:v>
                </c:pt>
              </c:numCache>
            </c:numRef>
          </c:val>
          <c:extLst>
            <c:ext xmlns:c16="http://schemas.microsoft.com/office/drawing/2014/chart" uri="{C3380CC4-5D6E-409C-BE32-E72D297353CC}">
              <c16:uniqueId val="{00000001-D20C-4333-A15E-E25FF0653716}"/>
            </c:ext>
          </c:extLst>
        </c:ser>
        <c:ser>
          <c:idx val="2"/>
          <c:order val="2"/>
          <c:tx>
            <c:strRef>
              <c:f>HTA!$N$15</c:f>
              <c:strCache>
                <c:ptCount val="1"/>
                <c:pt idx="0">
                  <c:v>Ezetim 10 mg</c:v>
                </c:pt>
              </c:strCache>
            </c:strRef>
          </c:tx>
          <c:spPr>
            <a:solidFill>
              <a:schemeClr val="accent3"/>
            </a:solidFill>
            <a:ln>
              <a:noFill/>
            </a:ln>
            <a:effectLst/>
          </c:spPr>
          <c:invertIfNegative val="0"/>
          <c:dLbls>
            <c:delete val="1"/>
          </c:dLbls>
          <c:cat>
            <c:strRef>
              <c:f>HTA!$K$16:$K$23</c:f>
              <c:strCache>
                <c:ptCount val="8"/>
                <c:pt idx="0">
                  <c:v>SMB 5 y</c:v>
                </c:pt>
                <c:pt idx="1">
                  <c:v>SMB 10 y</c:v>
                </c:pt>
                <c:pt idx="2">
                  <c:v>SMB 15 y</c:v>
                </c:pt>
                <c:pt idx="3">
                  <c:v>SMB 20 y</c:v>
                </c:pt>
                <c:pt idx="4">
                  <c:v>SCL 5 y</c:v>
                </c:pt>
                <c:pt idx="5">
                  <c:v>SCL 10 y</c:v>
                </c:pt>
                <c:pt idx="6">
                  <c:v>SCL 15 y</c:v>
                </c:pt>
                <c:pt idx="7">
                  <c:v>SCL 20 y</c:v>
                </c:pt>
              </c:strCache>
            </c:strRef>
          </c:cat>
          <c:val>
            <c:numRef>
              <c:f>HTA!$N$16:$N$23</c:f>
              <c:numCache>
                <c:formatCode>#,##0</c:formatCode>
                <c:ptCount val="8"/>
                <c:pt idx="0">
                  <c:v>104902.8108595848</c:v>
                </c:pt>
                <c:pt idx="1">
                  <c:v>44216.111312145345</c:v>
                </c:pt>
                <c:pt idx="2">
                  <c:v>23987.211462998846</c:v>
                </c:pt>
                <c:pt idx="3">
                  <c:v>13872.761538425615</c:v>
                </c:pt>
                <c:pt idx="4">
                  <c:v>42121.634388996572</c:v>
                </c:pt>
                <c:pt idx="5">
                  <c:v>4919.6407239100545</c:v>
                </c:pt>
                <c:pt idx="6">
                  <c:v>-7481.0238311187923</c:v>
                </c:pt>
                <c:pt idx="7">
                  <c:v>-13681.356108633208</c:v>
                </c:pt>
              </c:numCache>
            </c:numRef>
          </c:val>
          <c:extLst>
            <c:ext xmlns:c16="http://schemas.microsoft.com/office/drawing/2014/chart" uri="{C3380CC4-5D6E-409C-BE32-E72D297353CC}">
              <c16:uniqueId val="{00000002-D20C-4333-A15E-E25FF0653716}"/>
            </c:ext>
          </c:extLst>
        </c:ser>
        <c:ser>
          <c:idx val="3"/>
          <c:order val="3"/>
          <c:tx>
            <c:strRef>
              <c:f>HTA!$O$15</c:f>
              <c:strCache>
                <c:ptCount val="1"/>
                <c:pt idx="0">
                  <c:v>Evolocumab</c:v>
                </c:pt>
              </c:strCache>
            </c:strRef>
          </c:tx>
          <c:spPr>
            <a:solidFill>
              <a:schemeClr val="accent4"/>
            </a:solidFill>
            <a:ln>
              <a:noFill/>
            </a:ln>
            <a:effectLst/>
          </c:spPr>
          <c:invertIfNegative val="0"/>
          <c:dLbls>
            <c:delete val="1"/>
          </c:dLbls>
          <c:cat>
            <c:strRef>
              <c:f>HTA!$K$16:$K$23</c:f>
              <c:strCache>
                <c:ptCount val="8"/>
                <c:pt idx="0">
                  <c:v>SMB 5 y</c:v>
                </c:pt>
                <c:pt idx="1">
                  <c:v>SMB 10 y</c:v>
                </c:pt>
                <c:pt idx="2">
                  <c:v>SMB 15 y</c:v>
                </c:pt>
                <c:pt idx="3">
                  <c:v>SMB 20 y</c:v>
                </c:pt>
                <c:pt idx="4">
                  <c:v>SCL 5 y</c:v>
                </c:pt>
                <c:pt idx="5">
                  <c:v>SCL 10 y</c:v>
                </c:pt>
                <c:pt idx="6">
                  <c:v>SCL 15 y</c:v>
                </c:pt>
                <c:pt idx="7">
                  <c:v>SCL 20 y</c:v>
                </c:pt>
              </c:strCache>
            </c:strRef>
          </c:cat>
          <c:val>
            <c:numRef>
              <c:f>HTA!$O$16:$O$23</c:f>
              <c:numCache>
                <c:formatCode>#,##0</c:formatCode>
                <c:ptCount val="8"/>
                <c:pt idx="0">
                  <c:v>688854.81392819353</c:v>
                </c:pt>
                <c:pt idx="1">
                  <c:v>336192.11284644972</c:v>
                </c:pt>
                <c:pt idx="2">
                  <c:v>218637.87915253514</c:v>
                </c:pt>
                <c:pt idx="3">
                  <c:v>159860.76230557778</c:v>
                </c:pt>
                <c:pt idx="4">
                  <c:v>626073.63745760533</c:v>
                </c:pt>
                <c:pt idx="5">
                  <c:v>296895.64225821442</c:v>
                </c:pt>
                <c:pt idx="6">
                  <c:v>187169.64385841749</c:v>
                </c:pt>
                <c:pt idx="7">
                  <c:v>132306.64465851898</c:v>
                </c:pt>
              </c:numCache>
            </c:numRef>
          </c:val>
          <c:extLst>
            <c:ext xmlns:c16="http://schemas.microsoft.com/office/drawing/2014/chart" uri="{C3380CC4-5D6E-409C-BE32-E72D297353CC}">
              <c16:uniqueId val="{00000003-D20C-4333-A15E-E25FF0653716}"/>
            </c:ext>
          </c:extLst>
        </c:ser>
        <c:ser>
          <c:idx val="4"/>
          <c:order val="4"/>
          <c:tx>
            <c:strRef>
              <c:f>HTA!$P$15</c:f>
              <c:strCache>
                <c:ptCount val="1"/>
                <c:pt idx="0">
                  <c:v>Alirocumab</c:v>
                </c:pt>
              </c:strCache>
            </c:strRef>
          </c:tx>
          <c:spPr>
            <a:solidFill>
              <a:schemeClr val="accent5"/>
            </a:solidFill>
            <a:ln>
              <a:noFill/>
            </a:ln>
            <a:effectLst/>
          </c:spPr>
          <c:invertIfNegative val="0"/>
          <c:dLbls>
            <c:delete val="1"/>
          </c:dLbls>
          <c:cat>
            <c:strRef>
              <c:f>HTA!$K$16:$K$23</c:f>
              <c:strCache>
                <c:ptCount val="8"/>
                <c:pt idx="0">
                  <c:v>SMB 5 y</c:v>
                </c:pt>
                <c:pt idx="1">
                  <c:v>SMB 10 y</c:v>
                </c:pt>
                <c:pt idx="2">
                  <c:v>SMB 15 y</c:v>
                </c:pt>
                <c:pt idx="3">
                  <c:v>SMB 20 y</c:v>
                </c:pt>
                <c:pt idx="4">
                  <c:v>SCL 5 y</c:v>
                </c:pt>
                <c:pt idx="5">
                  <c:v>SCL 10 y</c:v>
                </c:pt>
                <c:pt idx="6">
                  <c:v>SCL 15 y</c:v>
                </c:pt>
                <c:pt idx="7">
                  <c:v>SCL 20 y</c:v>
                </c:pt>
              </c:strCache>
            </c:strRef>
          </c:cat>
          <c:val>
            <c:numRef>
              <c:f>HTA!$P$16:$P$23</c:f>
              <c:numCache>
                <c:formatCode>#,##0</c:formatCode>
                <c:ptCount val="8"/>
                <c:pt idx="0">
                  <c:v>711456.34319598286</c:v>
                </c:pt>
                <c:pt idx="1">
                  <c:v>347492.87748034438</c:v>
                </c:pt>
                <c:pt idx="2">
                  <c:v>226171.72224179821</c:v>
                </c:pt>
                <c:pt idx="3">
                  <c:v>165511.14462252514</c:v>
                </c:pt>
                <c:pt idx="4">
                  <c:v>648675.16672539467</c:v>
                </c:pt>
                <c:pt idx="5">
                  <c:v>308196.40689210908</c:v>
                </c:pt>
                <c:pt idx="6">
                  <c:v>194703.48694768056</c:v>
                </c:pt>
                <c:pt idx="7">
                  <c:v>137957.02697546632</c:v>
                </c:pt>
              </c:numCache>
            </c:numRef>
          </c:val>
          <c:extLst>
            <c:ext xmlns:c16="http://schemas.microsoft.com/office/drawing/2014/chart" uri="{C3380CC4-5D6E-409C-BE32-E72D297353CC}">
              <c16:uniqueId val="{00000004-D20C-4333-A15E-E25FF0653716}"/>
            </c:ext>
          </c:extLst>
        </c:ser>
        <c:dLbls>
          <c:dLblPos val="outEnd"/>
          <c:showLegendKey val="0"/>
          <c:showVal val="1"/>
          <c:showCatName val="0"/>
          <c:showSerName val="0"/>
          <c:showPercent val="0"/>
          <c:showBubbleSize val="0"/>
        </c:dLbls>
        <c:gapWidth val="219"/>
        <c:overlap val="-27"/>
        <c:axId val="1974870351"/>
        <c:axId val="1845365343"/>
      </c:barChart>
      <c:catAx>
        <c:axId val="1974870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1845365343"/>
        <c:crosses val="autoZero"/>
        <c:auto val="1"/>
        <c:lblAlgn val="ctr"/>
        <c:lblOffset val="100"/>
        <c:noMultiLvlLbl val="0"/>
      </c:catAx>
      <c:valAx>
        <c:axId val="18453653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Cost per QALY</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1974870351"/>
        <c:crosses val="autoZero"/>
        <c:crossBetween val="between"/>
        <c:majorUnit val="15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0.gif"/><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0.gif"/><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45984</xdr:colOff>
      <xdr:row>4</xdr:row>
      <xdr:rowOff>170793</xdr:rowOff>
    </xdr:from>
    <xdr:to>
      <xdr:col>5</xdr:col>
      <xdr:colOff>394138</xdr:colOff>
      <xdr:row>5</xdr:row>
      <xdr:rowOff>177362</xdr:rowOff>
    </xdr:to>
    <xdr:cxnSp macro="">
      <xdr:nvCxnSpPr>
        <xdr:cNvPr id="3" name="Gerade Verbindung mit Pfeil 2">
          <a:extLst>
            <a:ext uri="{FF2B5EF4-FFF2-40B4-BE49-F238E27FC236}">
              <a16:creationId xmlns:a16="http://schemas.microsoft.com/office/drawing/2014/main" id="{A99A2620-78F3-45BB-AD0A-3C289EA3B9A3}"/>
            </a:ext>
          </a:extLst>
        </xdr:cNvPr>
        <xdr:cNvCxnSpPr/>
      </xdr:nvCxnSpPr>
      <xdr:spPr>
        <a:xfrm flipH="1">
          <a:off x="4236984" y="3612931"/>
          <a:ext cx="348154" cy="197069"/>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722702</xdr:colOff>
          <xdr:row>41</xdr:row>
          <xdr:rowOff>58833</xdr:rowOff>
        </xdr:from>
        <xdr:to>
          <xdr:col>7</xdr:col>
          <xdr:colOff>708471</xdr:colOff>
          <xdr:row>47</xdr:row>
          <xdr:rowOff>154315</xdr:rowOff>
        </xdr:to>
        <xdr:pic>
          <xdr:nvPicPr>
            <xdr:cNvPr id="3" name="Grafik 2">
              <a:extLst>
                <a:ext uri="{FF2B5EF4-FFF2-40B4-BE49-F238E27FC236}">
                  <a16:creationId xmlns:a16="http://schemas.microsoft.com/office/drawing/2014/main" id="{D807480A-BB2B-4402-942E-50AEAB95CA03}"/>
                </a:ext>
              </a:extLst>
            </xdr:cNvPr>
            <xdr:cNvPicPr>
              <a:picLocks noChangeAspect="1" noChangeArrowheads="1"/>
              <a:extLst>
                <a:ext uri="{84589F7E-364E-4C9E-8A38-B11213B215E9}">
                  <a14:cameraTool cellRange="'3. Read Results'!$D$1:$F$8" spid="_x0000_s14582"/>
                </a:ext>
              </a:extLst>
            </xdr:cNvPicPr>
          </xdr:nvPicPr>
          <xdr:blipFill>
            <a:blip xmlns:r="http://schemas.openxmlformats.org/officeDocument/2006/relationships" r:embed="rId1"/>
            <a:srcRect/>
            <a:stretch>
              <a:fillRect/>
            </a:stretch>
          </xdr:blipFill>
          <xdr:spPr bwMode="auto">
            <a:xfrm>
              <a:off x="2249851" y="7804783"/>
              <a:ext cx="6110108" cy="122903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626676</xdr:colOff>
          <xdr:row>47</xdr:row>
          <xdr:rowOff>156111</xdr:rowOff>
        </xdr:from>
        <xdr:to>
          <xdr:col>7</xdr:col>
          <xdr:colOff>621880</xdr:colOff>
          <xdr:row>51</xdr:row>
          <xdr:rowOff>107475</xdr:rowOff>
        </xdr:to>
        <xdr:pic>
          <xdr:nvPicPr>
            <xdr:cNvPr id="4" name="Grafik 3">
              <a:extLst>
                <a:ext uri="{FF2B5EF4-FFF2-40B4-BE49-F238E27FC236}">
                  <a16:creationId xmlns:a16="http://schemas.microsoft.com/office/drawing/2014/main" id="{E5766C8C-D64A-4039-8651-80AE9DB6E397}"/>
                </a:ext>
              </a:extLst>
            </xdr:cNvPr>
            <xdr:cNvPicPr>
              <a:picLocks noChangeAspect="1" noChangeArrowheads="1"/>
              <a:extLst>
                <a:ext uri="{84589F7E-364E-4C9E-8A38-B11213B215E9}">
                  <a14:cameraTool cellRange="'3. Read Results'!$D$10:$F$14" spid="_x0000_s14583"/>
                </a:ext>
              </a:extLst>
            </xdr:cNvPicPr>
          </xdr:nvPicPr>
          <xdr:blipFill>
            <a:blip xmlns:r="http://schemas.openxmlformats.org/officeDocument/2006/relationships" r:embed="rId2"/>
            <a:srcRect/>
            <a:stretch>
              <a:fillRect/>
            </a:stretch>
          </xdr:blipFill>
          <xdr:spPr bwMode="auto">
            <a:xfrm>
              <a:off x="2153825" y="9035615"/>
              <a:ext cx="6119543" cy="70706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105879</xdr:colOff>
          <xdr:row>44</xdr:row>
          <xdr:rowOff>72593</xdr:rowOff>
        </xdr:from>
        <xdr:to>
          <xdr:col>8</xdr:col>
          <xdr:colOff>94463</xdr:colOff>
          <xdr:row>49</xdr:row>
          <xdr:rowOff>86594</xdr:rowOff>
        </xdr:to>
        <xdr:pic>
          <xdr:nvPicPr>
            <xdr:cNvPr id="5" name="Grafik 4">
              <a:extLst>
                <a:ext uri="{FF2B5EF4-FFF2-40B4-BE49-F238E27FC236}">
                  <a16:creationId xmlns:a16="http://schemas.microsoft.com/office/drawing/2014/main" id="{DF77CDF1-1912-426D-8857-711A5BE16F34}"/>
                </a:ext>
              </a:extLst>
            </xdr:cNvPr>
            <xdr:cNvPicPr>
              <a:picLocks noChangeAspect="1" noChangeArrowheads="1"/>
              <a:extLst>
                <a:ext uri="{84589F7E-364E-4C9E-8A38-B11213B215E9}">
                  <a14:cameraTool cellRange="'4. Inform Patient'!$B$18:$H$22" spid="_x0000_s14584"/>
                </a:ext>
              </a:extLst>
            </xdr:cNvPicPr>
          </xdr:nvPicPr>
          <xdr:blipFill>
            <a:blip xmlns:r="http://schemas.openxmlformats.org/officeDocument/2006/relationships" r:embed="rId3"/>
            <a:srcRect/>
            <a:stretch>
              <a:fillRect/>
            </a:stretch>
          </xdr:blipFill>
          <xdr:spPr bwMode="auto">
            <a:xfrm>
              <a:off x="2396602" y="8385320"/>
              <a:ext cx="6112923" cy="95862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1047483</xdr:colOff>
      <xdr:row>0</xdr:row>
      <xdr:rowOff>698500</xdr:rowOff>
    </xdr:from>
    <xdr:to>
      <xdr:col>7</xdr:col>
      <xdr:colOff>560294</xdr:colOff>
      <xdr:row>6</xdr:row>
      <xdr:rowOff>134471</xdr:rowOff>
    </xdr:to>
    <xdr:pic>
      <xdr:nvPicPr>
        <xdr:cNvPr id="2" name="Bild 1" descr="Logo_CMYK Kopie">
          <a:extLst>
            <a:ext uri="{FF2B5EF4-FFF2-40B4-BE49-F238E27FC236}">
              <a16:creationId xmlns:a16="http://schemas.microsoft.com/office/drawing/2014/main" id="{C3227E05-B44A-450C-99D2-60F63C8681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0159" y="698500"/>
          <a:ext cx="1765194" cy="14642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401896</xdr:colOff>
      <xdr:row>10</xdr:row>
      <xdr:rowOff>222324</xdr:rowOff>
    </xdr:from>
    <xdr:to>
      <xdr:col>3</xdr:col>
      <xdr:colOff>1691430</xdr:colOff>
      <xdr:row>15</xdr:row>
      <xdr:rowOff>146812</xdr:rowOff>
    </xdr:to>
    <xdr:pic>
      <xdr:nvPicPr>
        <xdr:cNvPr id="2" name="Grafik 1" descr="http://varifo.ch/wp-content/uploads/2017/11/cropped-1customLogo-1.png">
          <a:extLst>
            <a:ext uri="{FF2B5EF4-FFF2-40B4-BE49-F238E27FC236}">
              <a16:creationId xmlns:a16="http://schemas.microsoft.com/office/drawing/2014/main" id="{0E7C75C8-3981-4A07-B559-2497DF30F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5496" y="4426024"/>
          <a:ext cx="1289534" cy="106748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426623</xdr:colOff>
      <xdr:row>18</xdr:row>
      <xdr:rowOff>216114</xdr:rowOff>
    </xdr:from>
    <xdr:to>
      <xdr:col>6</xdr:col>
      <xdr:colOff>1243052</xdr:colOff>
      <xdr:row>20</xdr:row>
      <xdr:rowOff>11206</xdr:rowOff>
    </xdr:to>
    <xdr:sp macro="" textlink="">
      <xdr:nvSpPr>
        <xdr:cNvPr id="2" name="Abgerundetes Rechteck 1">
          <a:extLst>
            <a:ext uri="{FF2B5EF4-FFF2-40B4-BE49-F238E27FC236}">
              <a16:creationId xmlns:a16="http://schemas.microsoft.com/office/drawing/2014/main" id="{05CD88B3-373A-4323-82C6-5A0CF5457FFE}"/>
            </a:ext>
          </a:extLst>
        </xdr:cNvPr>
        <xdr:cNvSpPr/>
      </xdr:nvSpPr>
      <xdr:spPr bwMode="auto">
        <a:xfrm>
          <a:off x="8827673" y="4607139"/>
          <a:ext cx="816429" cy="480892"/>
        </a:xfrm>
        <a:prstGeom prst="round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editAs="oneCell">
    <xdr:from>
      <xdr:col>8</xdr:col>
      <xdr:colOff>1981637</xdr:colOff>
      <xdr:row>42</xdr:row>
      <xdr:rowOff>151294</xdr:rowOff>
    </xdr:from>
    <xdr:to>
      <xdr:col>13</xdr:col>
      <xdr:colOff>1476125</xdr:colOff>
      <xdr:row>55</xdr:row>
      <xdr:rowOff>115889</xdr:rowOff>
    </xdr:to>
    <xdr:pic>
      <xdr:nvPicPr>
        <xdr:cNvPr id="3" name="Grafik 2">
          <a:extLst>
            <a:ext uri="{FF2B5EF4-FFF2-40B4-BE49-F238E27FC236}">
              <a16:creationId xmlns:a16="http://schemas.microsoft.com/office/drawing/2014/main" id="{2CF4CCC3-3EA0-4610-9413-66F371F22577}"/>
            </a:ext>
          </a:extLst>
        </xdr:cNvPr>
        <xdr:cNvPicPr>
          <a:picLocks noChangeAspect="1"/>
        </xdr:cNvPicPr>
      </xdr:nvPicPr>
      <xdr:blipFill>
        <a:blip xmlns:r="http://schemas.openxmlformats.org/officeDocument/2006/relationships" r:embed="rId1"/>
        <a:stretch>
          <a:fillRect/>
        </a:stretch>
      </xdr:blipFill>
      <xdr:spPr>
        <a:xfrm>
          <a:off x="12230537" y="14467369"/>
          <a:ext cx="3411985" cy="2183919"/>
        </a:xfrm>
        <a:prstGeom prst="rect">
          <a:avLst/>
        </a:prstGeom>
      </xdr:spPr>
    </xdr:pic>
    <xdr:clientData/>
  </xdr:twoCellAnchor>
  <xdr:twoCellAnchor editAs="oneCell">
    <xdr:from>
      <xdr:col>3</xdr:col>
      <xdr:colOff>68036</xdr:colOff>
      <xdr:row>25</xdr:row>
      <xdr:rowOff>29935</xdr:rowOff>
    </xdr:from>
    <xdr:to>
      <xdr:col>4</xdr:col>
      <xdr:colOff>381276</xdr:colOff>
      <xdr:row>28</xdr:row>
      <xdr:rowOff>48986</xdr:rowOff>
    </xdr:to>
    <xdr:pic>
      <xdr:nvPicPr>
        <xdr:cNvPr id="4" name="Grafik 3" descr="http://kardiolab.ch/KardiolabLogo28072006.gif">
          <a:extLst>
            <a:ext uri="{FF2B5EF4-FFF2-40B4-BE49-F238E27FC236}">
              <a16:creationId xmlns:a16="http://schemas.microsoft.com/office/drawing/2014/main" id="{4D4E289E-3221-441A-BD16-76E24C18302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88179" y="6398078"/>
          <a:ext cx="2640062" cy="7130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503465</xdr:colOff>
      <xdr:row>43</xdr:row>
      <xdr:rowOff>63952</xdr:rowOff>
    </xdr:from>
    <xdr:to>
      <xdr:col>8</xdr:col>
      <xdr:colOff>476250</xdr:colOff>
      <xdr:row>58</xdr:row>
      <xdr:rowOff>58509</xdr:rowOff>
    </xdr:to>
    <xdr:graphicFrame macro="">
      <xdr:nvGraphicFramePr>
        <xdr:cNvPr id="5" name="Diagramm 4">
          <a:extLst>
            <a:ext uri="{FF2B5EF4-FFF2-40B4-BE49-F238E27FC236}">
              <a16:creationId xmlns:a16="http://schemas.microsoft.com/office/drawing/2014/main" id="{3F0B45D9-A685-48CE-AB02-4BE41E27B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426623</xdr:colOff>
      <xdr:row>18</xdr:row>
      <xdr:rowOff>216114</xdr:rowOff>
    </xdr:from>
    <xdr:to>
      <xdr:col>6</xdr:col>
      <xdr:colOff>1243052</xdr:colOff>
      <xdr:row>20</xdr:row>
      <xdr:rowOff>11206</xdr:rowOff>
    </xdr:to>
    <xdr:sp macro="" textlink="">
      <xdr:nvSpPr>
        <xdr:cNvPr id="2" name="Abgerundetes Rechteck 1">
          <a:extLst>
            <a:ext uri="{FF2B5EF4-FFF2-40B4-BE49-F238E27FC236}">
              <a16:creationId xmlns:a16="http://schemas.microsoft.com/office/drawing/2014/main" id="{3FF4B992-5C6B-412F-A699-5D026D8B429F}"/>
            </a:ext>
          </a:extLst>
        </xdr:cNvPr>
        <xdr:cNvSpPr/>
      </xdr:nvSpPr>
      <xdr:spPr bwMode="auto">
        <a:xfrm>
          <a:off x="9481723" y="4597614"/>
          <a:ext cx="816429" cy="252292"/>
        </a:xfrm>
        <a:prstGeom prst="round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editAs="oneCell">
    <xdr:from>
      <xdr:col>8</xdr:col>
      <xdr:colOff>1981637</xdr:colOff>
      <xdr:row>42</xdr:row>
      <xdr:rowOff>151294</xdr:rowOff>
    </xdr:from>
    <xdr:to>
      <xdr:col>16</xdr:col>
      <xdr:colOff>510925</xdr:colOff>
      <xdr:row>54</xdr:row>
      <xdr:rowOff>96839</xdr:rowOff>
    </xdr:to>
    <xdr:pic>
      <xdr:nvPicPr>
        <xdr:cNvPr id="3" name="Grafik 2">
          <a:extLst>
            <a:ext uri="{FF2B5EF4-FFF2-40B4-BE49-F238E27FC236}">
              <a16:creationId xmlns:a16="http://schemas.microsoft.com/office/drawing/2014/main" id="{DCDFDCC7-79E9-476D-AF30-2C67D0BC66AB}"/>
            </a:ext>
          </a:extLst>
        </xdr:cNvPr>
        <xdr:cNvPicPr>
          <a:picLocks noChangeAspect="1"/>
        </xdr:cNvPicPr>
      </xdr:nvPicPr>
      <xdr:blipFill>
        <a:blip xmlns:r="http://schemas.openxmlformats.org/officeDocument/2006/relationships" r:embed="rId1"/>
        <a:stretch>
          <a:fillRect/>
        </a:stretch>
      </xdr:blipFill>
      <xdr:spPr>
        <a:xfrm>
          <a:off x="15024537" y="10901844"/>
          <a:ext cx="7298638" cy="2155345"/>
        </a:xfrm>
        <a:prstGeom prst="rect">
          <a:avLst/>
        </a:prstGeom>
      </xdr:spPr>
    </xdr:pic>
    <xdr:clientData/>
  </xdr:twoCellAnchor>
  <xdr:twoCellAnchor editAs="oneCell">
    <xdr:from>
      <xdr:col>3</xdr:col>
      <xdr:colOff>68037</xdr:colOff>
      <xdr:row>25</xdr:row>
      <xdr:rowOff>29935</xdr:rowOff>
    </xdr:from>
    <xdr:to>
      <xdr:col>4</xdr:col>
      <xdr:colOff>1276351</xdr:colOff>
      <xdr:row>28</xdr:row>
      <xdr:rowOff>182336</xdr:rowOff>
    </xdr:to>
    <xdr:pic>
      <xdr:nvPicPr>
        <xdr:cNvPr id="4" name="Grafik 3" descr="http://kardiolab.ch/KardiolabLogo28072006.gif">
          <a:extLst>
            <a:ext uri="{FF2B5EF4-FFF2-40B4-BE49-F238E27FC236}">
              <a16:creationId xmlns:a16="http://schemas.microsoft.com/office/drawing/2014/main" id="{F5FA7117-0ED1-4784-A9AA-DF2C919BF9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39912" y="6335485"/>
          <a:ext cx="3532414" cy="838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503465</xdr:colOff>
      <xdr:row>43</xdr:row>
      <xdr:rowOff>63952</xdr:rowOff>
    </xdr:from>
    <xdr:to>
      <xdr:col>8</xdr:col>
      <xdr:colOff>476250</xdr:colOff>
      <xdr:row>58</xdr:row>
      <xdr:rowOff>58509</xdr:rowOff>
    </xdr:to>
    <xdr:graphicFrame macro="">
      <xdr:nvGraphicFramePr>
        <xdr:cNvPr id="5" name="Diagramm 4">
          <a:extLst>
            <a:ext uri="{FF2B5EF4-FFF2-40B4-BE49-F238E27FC236}">
              <a16:creationId xmlns:a16="http://schemas.microsoft.com/office/drawing/2014/main" id="{B102884B-F9FF-43D8-8324-B73D597959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34</xdr:row>
      <xdr:rowOff>47624</xdr:rowOff>
    </xdr:from>
    <xdr:to>
      <xdr:col>2</xdr:col>
      <xdr:colOff>1170215</xdr:colOff>
      <xdr:row>34</xdr:row>
      <xdr:rowOff>217714</xdr:rowOff>
    </xdr:to>
    <xdr:sp macro="" textlink="">
      <xdr:nvSpPr>
        <xdr:cNvPr id="2" name="AutoShape 3">
          <a:extLst>
            <a:ext uri="{FF2B5EF4-FFF2-40B4-BE49-F238E27FC236}">
              <a16:creationId xmlns:a16="http://schemas.microsoft.com/office/drawing/2014/main" id="{73F03503-3451-4632-87BD-989D8A2515DC}"/>
            </a:ext>
          </a:extLst>
        </xdr:cNvPr>
        <xdr:cNvSpPr>
          <a:spLocks noChangeArrowheads="1"/>
        </xdr:cNvSpPr>
      </xdr:nvSpPr>
      <xdr:spPr bwMode="auto">
        <a:xfrm>
          <a:off x="5238750" y="8181974"/>
          <a:ext cx="1027340" cy="170090"/>
        </a:xfrm>
        <a:prstGeom prst="rightArrow">
          <a:avLst>
            <a:gd name="adj1" fmla="val 50000"/>
            <a:gd name="adj2" fmla="val 57143"/>
          </a:avLst>
        </a:prstGeom>
        <a:solidFill>
          <a:srgbClr val="FFFF00"/>
        </a:solidFill>
        <a:ln w="9525">
          <a:solidFill>
            <a:srgbClr val="000000"/>
          </a:solidFill>
          <a:miter lim="800000"/>
          <a:headEnd/>
          <a:tailEnd/>
        </a:ln>
      </xdr:spPr>
    </xdr:sp>
    <xdr:clientData/>
  </xdr:twoCellAnchor>
  <xdr:twoCellAnchor>
    <xdr:from>
      <xdr:col>2</xdr:col>
      <xdr:colOff>123825</xdr:colOff>
      <xdr:row>38</xdr:row>
      <xdr:rowOff>47625</xdr:rowOff>
    </xdr:from>
    <xdr:to>
      <xdr:col>2</xdr:col>
      <xdr:colOff>1183823</xdr:colOff>
      <xdr:row>39</xdr:row>
      <xdr:rowOff>0</xdr:rowOff>
    </xdr:to>
    <xdr:sp macro="" textlink="">
      <xdr:nvSpPr>
        <xdr:cNvPr id="3" name="AutoShape 4">
          <a:extLst>
            <a:ext uri="{FF2B5EF4-FFF2-40B4-BE49-F238E27FC236}">
              <a16:creationId xmlns:a16="http://schemas.microsoft.com/office/drawing/2014/main" id="{EA15F725-9A59-4171-8D54-F41278505B6F}"/>
            </a:ext>
          </a:extLst>
        </xdr:cNvPr>
        <xdr:cNvSpPr>
          <a:spLocks noChangeArrowheads="1"/>
        </xdr:cNvSpPr>
      </xdr:nvSpPr>
      <xdr:spPr bwMode="auto">
        <a:xfrm>
          <a:off x="5219700" y="9039225"/>
          <a:ext cx="1059998" cy="209550"/>
        </a:xfrm>
        <a:prstGeom prst="rightArrow">
          <a:avLst>
            <a:gd name="adj1" fmla="val 50000"/>
            <a:gd name="adj2" fmla="val 57143"/>
          </a:avLst>
        </a:prstGeom>
        <a:solidFill>
          <a:srgbClr val="FFFF00"/>
        </a:solidFill>
        <a:ln w="9525">
          <a:solidFill>
            <a:srgbClr val="000000"/>
          </a:solidFill>
          <a:miter lim="800000"/>
          <a:headEnd/>
          <a:tailEnd/>
        </a:ln>
      </xdr:spPr>
    </xdr:sp>
    <xdr:clientData/>
  </xdr:twoCellAnchor>
  <xdr:twoCellAnchor editAs="oneCell">
    <xdr:from>
      <xdr:col>2</xdr:col>
      <xdr:colOff>2002645</xdr:colOff>
      <xdr:row>16</xdr:row>
      <xdr:rowOff>78441</xdr:rowOff>
    </xdr:from>
    <xdr:to>
      <xdr:col>2</xdr:col>
      <xdr:colOff>2325761</xdr:colOff>
      <xdr:row>16</xdr:row>
      <xdr:rowOff>249144</xdr:rowOff>
    </xdr:to>
    <xdr:pic>
      <xdr:nvPicPr>
        <xdr:cNvPr id="4" name="Grafik 3">
          <a:extLst>
            <a:ext uri="{FF2B5EF4-FFF2-40B4-BE49-F238E27FC236}">
              <a16:creationId xmlns:a16="http://schemas.microsoft.com/office/drawing/2014/main" id="{DB819B12-6E78-46EA-9656-A1302CE8132E}"/>
            </a:ext>
          </a:extLst>
        </xdr:cNvPr>
        <xdr:cNvPicPr>
          <a:picLocks noChangeAspect="1"/>
        </xdr:cNvPicPr>
      </xdr:nvPicPr>
      <xdr:blipFill>
        <a:blip xmlns:r="http://schemas.openxmlformats.org/officeDocument/2006/relationships" r:embed="rId1"/>
        <a:stretch>
          <a:fillRect/>
        </a:stretch>
      </xdr:blipFill>
      <xdr:spPr>
        <a:xfrm>
          <a:off x="7098520" y="4307541"/>
          <a:ext cx="323116" cy="170703"/>
        </a:xfrm>
        <a:prstGeom prst="rect">
          <a:avLst/>
        </a:prstGeom>
      </xdr:spPr>
    </xdr:pic>
    <xdr:clientData/>
  </xdr:twoCellAnchor>
  <xdr:twoCellAnchor>
    <xdr:from>
      <xdr:col>3</xdr:col>
      <xdr:colOff>627530</xdr:colOff>
      <xdr:row>23</xdr:row>
      <xdr:rowOff>67236</xdr:rowOff>
    </xdr:from>
    <xdr:to>
      <xdr:col>3</xdr:col>
      <xdr:colOff>932330</xdr:colOff>
      <xdr:row>23</xdr:row>
      <xdr:rowOff>200586</xdr:rowOff>
    </xdr:to>
    <xdr:sp macro="" textlink="">
      <xdr:nvSpPr>
        <xdr:cNvPr id="5" name="AutoShape 3">
          <a:extLst>
            <a:ext uri="{FF2B5EF4-FFF2-40B4-BE49-F238E27FC236}">
              <a16:creationId xmlns:a16="http://schemas.microsoft.com/office/drawing/2014/main" id="{99F6383A-8EE2-4E32-A9C9-C20E7D8F3DAE}"/>
            </a:ext>
          </a:extLst>
        </xdr:cNvPr>
        <xdr:cNvSpPr>
          <a:spLocks noChangeArrowheads="1"/>
        </xdr:cNvSpPr>
      </xdr:nvSpPr>
      <xdr:spPr bwMode="auto">
        <a:xfrm>
          <a:off x="8171330" y="5953686"/>
          <a:ext cx="304800" cy="133350"/>
        </a:xfrm>
        <a:prstGeom prst="rightArrow">
          <a:avLst>
            <a:gd name="adj1" fmla="val 50000"/>
            <a:gd name="adj2" fmla="val 57143"/>
          </a:avLst>
        </a:prstGeom>
        <a:solidFill>
          <a:srgbClr val="FFFF00"/>
        </a:solidFill>
        <a:ln w="9525">
          <a:solidFill>
            <a:srgbClr val="000000"/>
          </a:solidFill>
          <a:miter lim="800000"/>
          <a:headEnd/>
          <a:tailEnd/>
        </a:ln>
      </xdr:spPr>
    </xdr:sp>
    <xdr:clientData/>
  </xdr:twoCellAnchor>
  <xdr:twoCellAnchor>
    <xdr:from>
      <xdr:col>4</xdr:col>
      <xdr:colOff>761600</xdr:colOff>
      <xdr:row>13</xdr:row>
      <xdr:rowOff>44264</xdr:rowOff>
    </xdr:from>
    <xdr:to>
      <xdr:col>4</xdr:col>
      <xdr:colOff>894950</xdr:colOff>
      <xdr:row>14</xdr:row>
      <xdr:rowOff>158564</xdr:rowOff>
    </xdr:to>
    <xdr:sp macro="" textlink="">
      <xdr:nvSpPr>
        <xdr:cNvPr id="6" name="AutoShape 3">
          <a:extLst>
            <a:ext uri="{FF2B5EF4-FFF2-40B4-BE49-F238E27FC236}">
              <a16:creationId xmlns:a16="http://schemas.microsoft.com/office/drawing/2014/main" id="{0A546806-5C1D-4174-8BAF-C02FC4ED0526}"/>
            </a:ext>
          </a:extLst>
        </xdr:cNvPr>
        <xdr:cNvSpPr>
          <a:spLocks noChangeArrowheads="1"/>
        </xdr:cNvSpPr>
      </xdr:nvSpPr>
      <xdr:spPr bwMode="auto">
        <a:xfrm rot="5400000">
          <a:off x="9257900" y="3778064"/>
          <a:ext cx="304800" cy="133350"/>
        </a:xfrm>
        <a:prstGeom prst="rightArrow">
          <a:avLst>
            <a:gd name="adj1" fmla="val 50000"/>
            <a:gd name="adj2" fmla="val 57143"/>
          </a:avLst>
        </a:prstGeom>
        <a:solidFill>
          <a:srgbClr val="FFFF00"/>
        </a:solidFill>
        <a:ln w="9525">
          <a:solidFill>
            <a:srgbClr val="000000"/>
          </a:solidFill>
          <a:miter lim="800000"/>
          <a:headEnd/>
          <a:tailEnd/>
        </a:ln>
      </xdr:spPr>
    </xdr:sp>
    <xdr:clientData/>
  </xdr:twoCellAnchor>
  <xdr:twoCellAnchor>
    <xdr:from>
      <xdr:col>4</xdr:col>
      <xdr:colOff>809143</xdr:colOff>
      <xdr:row>19</xdr:row>
      <xdr:rowOff>39780</xdr:rowOff>
    </xdr:from>
    <xdr:to>
      <xdr:col>4</xdr:col>
      <xdr:colOff>942493</xdr:colOff>
      <xdr:row>20</xdr:row>
      <xdr:rowOff>154080</xdr:rowOff>
    </xdr:to>
    <xdr:sp macro="" textlink="">
      <xdr:nvSpPr>
        <xdr:cNvPr id="7" name="AutoShape 3">
          <a:extLst>
            <a:ext uri="{FF2B5EF4-FFF2-40B4-BE49-F238E27FC236}">
              <a16:creationId xmlns:a16="http://schemas.microsoft.com/office/drawing/2014/main" id="{198415CE-40EC-41F8-A14C-33FECFD3BFD1}"/>
            </a:ext>
          </a:extLst>
        </xdr:cNvPr>
        <xdr:cNvSpPr>
          <a:spLocks noChangeArrowheads="1"/>
        </xdr:cNvSpPr>
      </xdr:nvSpPr>
      <xdr:spPr bwMode="auto">
        <a:xfrm rot="16200000">
          <a:off x="9305443" y="5145180"/>
          <a:ext cx="304800" cy="133350"/>
        </a:xfrm>
        <a:prstGeom prst="rightArrow">
          <a:avLst>
            <a:gd name="adj1" fmla="val 50000"/>
            <a:gd name="adj2" fmla="val 57143"/>
          </a:avLst>
        </a:prstGeom>
        <a:solidFill>
          <a:srgbClr val="FFFF00"/>
        </a:solidFill>
        <a:ln w="9525">
          <a:solidFill>
            <a:srgbClr val="000000"/>
          </a:solidFill>
          <a:miter lim="800000"/>
          <a:headEnd/>
          <a:tailEnd/>
        </a:ln>
      </xdr:spPr>
    </xdr:sp>
    <xdr:clientData/>
  </xdr:twoCellAnchor>
  <xdr:twoCellAnchor>
    <xdr:from>
      <xdr:col>7</xdr:col>
      <xdr:colOff>721179</xdr:colOff>
      <xdr:row>21</xdr:row>
      <xdr:rowOff>89646</xdr:rowOff>
    </xdr:from>
    <xdr:to>
      <xdr:col>7</xdr:col>
      <xdr:colOff>1905000</xdr:colOff>
      <xdr:row>21</xdr:row>
      <xdr:rowOff>244929</xdr:rowOff>
    </xdr:to>
    <xdr:sp macro="" textlink="">
      <xdr:nvSpPr>
        <xdr:cNvPr id="8" name="AutoShape 3">
          <a:extLst>
            <a:ext uri="{FF2B5EF4-FFF2-40B4-BE49-F238E27FC236}">
              <a16:creationId xmlns:a16="http://schemas.microsoft.com/office/drawing/2014/main" id="{84D9356F-6615-4229-9AE1-20BD0814ED5F}"/>
            </a:ext>
          </a:extLst>
        </xdr:cNvPr>
        <xdr:cNvSpPr>
          <a:spLocks noChangeArrowheads="1"/>
        </xdr:cNvSpPr>
      </xdr:nvSpPr>
      <xdr:spPr bwMode="auto">
        <a:xfrm>
          <a:off x="14341929" y="5490321"/>
          <a:ext cx="1183821" cy="155283"/>
        </a:xfrm>
        <a:prstGeom prst="rightArrow">
          <a:avLst>
            <a:gd name="adj1" fmla="val 50000"/>
            <a:gd name="adj2" fmla="val 57143"/>
          </a:avLst>
        </a:prstGeom>
        <a:solidFill>
          <a:srgbClr val="FFFF00"/>
        </a:solidFill>
        <a:ln w="9525">
          <a:solidFill>
            <a:srgbClr val="000000"/>
          </a:solidFill>
          <a:miter lim="800000"/>
          <a:headEnd/>
          <a:tailEnd/>
        </a:ln>
      </xdr:spPr>
    </xdr:sp>
    <xdr:clientData/>
  </xdr:twoCellAnchor>
  <xdr:twoCellAnchor>
    <xdr:from>
      <xdr:col>9</xdr:col>
      <xdr:colOff>758078</xdr:colOff>
      <xdr:row>18</xdr:row>
      <xdr:rowOff>138393</xdr:rowOff>
    </xdr:from>
    <xdr:to>
      <xdr:col>9</xdr:col>
      <xdr:colOff>891428</xdr:colOff>
      <xdr:row>19</xdr:row>
      <xdr:rowOff>151840</xdr:rowOff>
    </xdr:to>
    <xdr:sp macro="" textlink="">
      <xdr:nvSpPr>
        <xdr:cNvPr id="9" name="AutoShape 3">
          <a:extLst>
            <a:ext uri="{FF2B5EF4-FFF2-40B4-BE49-F238E27FC236}">
              <a16:creationId xmlns:a16="http://schemas.microsoft.com/office/drawing/2014/main" id="{5C3831C1-6BC6-4145-9784-3BBA8E72E1A6}"/>
            </a:ext>
          </a:extLst>
        </xdr:cNvPr>
        <xdr:cNvSpPr>
          <a:spLocks noChangeArrowheads="1"/>
        </xdr:cNvSpPr>
      </xdr:nvSpPr>
      <xdr:spPr bwMode="auto">
        <a:xfrm rot="5400000">
          <a:off x="17367717" y="4950479"/>
          <a:ext cx="308722" cy="133350"/>
        </a:xfrm>
        <a:prstGeom prst="rightArrow">
          <a:avLst>
            <a:gd name="adj1" fmla="val 50000"/>
            <a:gd name="adj2" fmla="val 57143"/>
          </a:avLst>
        </a:prstGeom>
        <a:solidFill>
          <a:srgbClr val="FFFF00"/>
        </a:solidFill>
        <a:ln w="9525">
          <a:solidFill>
            <a:srgbClr val="000000"/>
          </a:solidFill>
          <a:miter lim="800000"/>
          <a:headEnd/>
          <a:tailEnd/>
        </a:ln>
      </xdr:spPr>
    </xdr:sp>
    <xdr:clientData/>
  </xdr:twoCellAnchor>
  <xdr:twoCellAnchor>
    <xdr:from>
      <xdr:col>17</xdr:col>
      <xdr:colOff>512445</xdr:colOff>
      <xdr:row>63</xdr:row>
      <xdr:rowOff>102870</xdr:rowOff>
    </xdr:from>
    <xdr:to>
      <xdr:col>23</xdr:col>
      <xdr:colOff>329565</xdr:colOff>
      <xdr:row>78</xdr:row>
      <xdr:rowOff>102870</xdr:rowOff>
    </xdr:to>
    <xdr:graphicFrame macro="">
      <xdr:nvGraphicFramePr>
        <xdr:cNvPr id="10" name="Diagramm 9">
          <a:extLst>
            <a:ext uri="{FF2B5EF4-FFF2-40B4-BE49-F238E27FC236}">
              <a16:creationId xmlns:a16="http://schemas.microsoft.com/office/drawing/2014/main" id="{71257CA9-0311-44CC-AEC9-323A58F48B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685800</xdr:colOff>
      <xdr:row>79</xdr:row>
      <xdr:rowOff>166687</xdr:rowOff>
    </xdr:from>
    <xdr:to>
      <xdr:col>23</xdr:col>
      <xdr:colOff>685800</xdr:colOff>
      <xdr:row>94</xdr:row>
      <xdr:rowOff>52387</xdr:rowOff>
    </xdr:to>
    <xdr:graphicFrame macro="">
      <xdr:nvGraphicFramePr>
        <xdr:cNvPr id="11" name="Diagramm 10">
          <a:extLst>
            <a:ext uri="{FF2B5EF4-FFF2-40B4-BE49-F238E27FC236}">
              <a16:creationId xmlns:a16="http://schemas.microsoft.com/office/drawing/2014/main" id="{A81D7812-C9B7-427A-855D-ABA2108762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639535</xdr:colOff>
      <xdr:row>21</xdr:row>
      <xdr:rowOff>68036</xdr:rowOff>
    </xdr:from>
    <xdr:to>
      <xdr:col>0</xdr:col>
      <xdr:colOff>1666875</xdr:colOff>
      <xdr:row>21</xdr:row>
      <xdr:rowOff>238126</xdr:rowOff>
    </xdr:to>
    <xdr:sp macro="" textlink="">
      <xdr:nvSpPr>
        <xdr:cNvPr id="12" name="AutoShape 3">
          <a:extLst>
            <a:ext uri="{FF2B5EF4-FFF2-40B4-BE49-F238E27FC236}">
              <a16:creationId xmlns:a16="http://schemas.microsoft.com/office/drawing/2014/main" id="{B084976B-5F42-46B3-837B-8A769400A71D}"/>
            </a:ext>
          </a:extLst>
        </xdr:cNvPr>
        <xdr:cNvSpPr>
          <a:spLocks noChangeArrowheads="1"/>
        </xdr:cNvSpPr>
      </xdr:nvSpPr>
      <xdr:spPr bwMode="auto">
        <a:xfrm>
          <a:off x="639535" y="5468711"/>
          <a:ext cx="1027340" cy="170090"/>
        </a:xfrm>
        <a:prstGeom prst="rightArrow">
          <a:avLst>
            <a:gd name="adj1" fmla="val 50000"/>
            <a:gd name="adj2" fmla="val 57143"/>
          </a:avLst>
        </a:prstGeom>
        <a:solidFill>
          <a:srgbClr val="FFFF00"/>
        </a:solidFill>
        <a:ln w="9525">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462917</xdr:colOff>
      <xdr:row>2</xdr:row>
      <xdr:rowOff>137160</xdr:rowOff>
    </xdr:from>
    <xdr:to>
      <xdr:col>8</xdr:col>
      <xdr:colOff>350521</xdr:colOff>
      <xdr:row>7</xdr:row>
      <xdr:rowOff>250825</xdr:rowOff>
    </xdr:to>
    <xdr:pic>
      <xdr:nvPicPr>
        <xdr:cNvPr id="2" name="Picture 2" descr="Logo">
          <a:extLst>
            <a:ext uri="{FF2B5EF4-FFF2-40B4-BE49-F238E27FC236}">
              <a16:creationId xmlns:a16="http://schemas.microsoft.com/office/drawing/2014/main" id="{8BEADE14-3E6E-48AC-99D1-83041E4070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92967" y="699135"/>
          <a:ext cx="1668779" cy="1447165"/>
        </a:xfrm>
        <a:prstGeom prst="rect">
          <a:avLst/>
        </a:prstGeom>
        <a:noFill/>
      </xdr:spPr>
    </xdr:pic>
    <xdr:clientData/>
  </xdr:twoCellAnchor>
  <xdr:twoCellAnchor>
    <xdr:from>
      <xdr:col>12</xdr:col>
      <xdr:colOff>108857</xdr:colOff>
      <xdr:row>25</xdr:row>
      <xdr:rowOff>111579</xdr:rowOff>
    </xdr:from>
    <xdr:to>
      <xdr:col>21</xdr:col>
      <xdr:colOff>571501</xdr:colOff>
      <xdr:row>45</xdr:row>
      <xdr:rowOff>258538</xdr:rowOff>
    </xdr:to>
    <xdr:graphicFrame macro="">
      <xdr:nvGraphicFramePr>
        <xdr:cNvPr id="4" name="Diagramm 3">
          <a:extLst>
            <a:ext uri="{FF2B5EF4-FFF2-40B4-BE49-F238E27FC236}">
              <a16:creationId xmlns:a16="http://schemas.microsoft.com/office/drawing/2014/main" id="{10C48965-5B16-4997-858B-293B62DC6D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240880</xdr:colOff>
      <xdr:row>2</xdr:row>
      <xdr:rowOff>69850</xdr:rowOff>
    </xdr:from>
    <xdr:to>
      <xdr:col>4</xdr:col>
      <xdr:colOff>2101849</xdr:colOff>
      <xdr:row>7</xdr:row>
      <xdr:rowOff>71031</xdr:rowOff>
    </xdr:to>
    <xdr:pic>
      <xdr:nvPicPr>
        <xdr:cNvPr id="2" name="Grafik 1" descr="Logo">
          <a:extLst>
            <a:ext uri="{FF2B5EF4-FFF2-40B4-BE49-F238E27FC236}">
              <a16:creationId xmlns:a16="http://schemas.microsoft.com/office/drawing/2014/main" id="{206C1638-5EF2-4E6F-9522-CE97F5A86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5805" y="2593975"/>
          <a:ext cx="1860969" cy="1601381"/>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7.bin"/><Relationship Id="rId1" Type="http://schemas.openxmlformats.org/officeDocument/2006/relationships/hyperlink" Target="https://docfind.ch/PEPSMW.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statine.ch/"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mdcalc.com/has-bled-score-major-bleeding-risk" TargetMode="External"/><Relationship Id="rId1" Type="http://schemas.openxmlformats.org/officeDocument/2006/relationships/hyperlink" Target="https://academic.oup.com/eurheartj/article/40/31/2632/5492739"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ocfind.ch/AspirinStatinCompass.xlsx" TargetMode="External"/><Relationship Id="rId1" Type="http://schemas.openxmlformats.org/officeDocument/2006/relationships/hyperlink" Target="http://www.kardiolab.ch/MONICA-PROCAM3_RA1.html" TargetMode="External"/><Relationship Id="rId6" Type="http://schemas.openxmlformats.org/officeDocument/2006/relationships/comments" Target="../comments2.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hyperlink" Target="http://www.docfind.ch/varifocostmodel.pdf" TargetMode="External"/><Relationship Id="rId7" Type="http://schemas.openxmlformats.org/officeDocument/2006/relationships/comments" Target="../comments3.xml"/><Relationship Id="rId2" Type="http://schemas.openxmlformats.org/officeDocument/2006/relationships/hyperlink" Target="http://www.docfind.ch/varifocostmodel.pdf" TargetMode="External"/><Relationship Id="rId1" Type="http://schemas.openxmlformats.org/officeDocument/2006/relationships/hyperlink" Target="http://www.ncbi.nlm.nih.gov/pubmed/23674398" TargetMode="External"/><Relationship Id="rId6" Type="http://schemas.openxmlformats.org/officeDocument/2006/relationships/vmlDrawing" Target="../drawings/vmlDrawing4.vml"/><Relationship Id="rId5" Type="http://schemas.openxmlformats.org/officeDocument/2006/relationships/drawing" Target="../drawings/drawing7.xml"/><Relationship Id="rId4" Type="http://schemas.openxmlformats.org/officeDocument/2006/relationships/hyperlink" Target="http://www.smw.ch/content/smw-2014-139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39E82-6BEF-42CD-8D08-E3EF4460651B}">
  <dimension ref="C2:J36"/>
  <sheetViews>
    <sheetView zoomScale="145" zoomScaleNormal="145" workbookViewId="0">
      <selection activeCell="L9" sqref="L9"/>
    </sheetView>
  </sheetViews>
  <sheetFormatPr baseColWidth="10" defaultRowHeight="15" x14ac:dyDescent="0.25"/>
  <cols>
    <col min="1" max="2" width="11.42578125" style="532"/>
    <col min="3" max="3" width="14.140625" style="532" bestFit="1" customWidth="1"/>
    <col min="4" max="4" width="22" style="710" bestFit="1" customWidth="1"/>
    <col min="5" max="5" width="6.5703125" style="532" customWidth="1"/>
    <col min="6" max="7" width="11.42578125" style="532"/>
    <col min="8" max="8" width="14.140625" style="532" bestFit="1" customWidth="1"/>
    <col min="9" max="9" width="13.28515625" style="532" bestFit="1" customWidth="1"/>
    <col min="10" max="10" width="7.28515625" style="710" customWidth="1"/>
    <col min="11" max="16384" width="11.42578125" style="532"/>
  </cols>
  <sheetData>
    <row r="2" spans="3:10" ht="15.75" thickBot="1" x14ac:dyDescent="0.3"/>
    <row r="3" spans="3:10" ht="15.75" thickBot="1" x14ac:dyDescent="0.3">
      <c r="C3" s="776" t="s">
        <v>654</v>
      </c>
      <c r="D3" s="777"/>
      <c r="E3" s="778"/>
      <c r="H3" s="776" t="s">
        <v>645</v>
      </c>
      <c r="I3" s="777"/>
      <c r="J3" s="778"/>
    </row>
    <row r="5" spans="3:10" x14ac:dyDescent="0.25">
      <c r="D5" s="712" t="s">
        <v>614</v>
      </c>
      <c r="E5" s="532" t="s">
        <v>615</v>
      </c>
      <c r="J5" s="532"/>
    </row>
    <row r="6" spans="3:10" ht="15.75" thickBot="1" x14ac:dyDescent="0.3">
      <c r="E6" s="532" t="s">
        <v>625</v>
      </c>
      <c r="H6" s="713" t="s">
        <v>623</v>
      </c>
      <c r="I6" s="714" t="s">
        <v>609</v>
      </c>
      <c r="J6" s="715"/>
    </row>
    <row r="7" spans="3:10" ht="15.75" thickBot="1" x14ac:dyDescent="0.3">
      <c r="C7" s="722" t="s">
        <v>611</v>
      </c>
      <c r="D7" s="723" t="s">
        <v>610</v>
      </c>
      <c r="E7" s="773">
        <v>68</v>
      </c>
      <c r="H7" s="716"/>
      <c r="I7" s="717" t="s">
        <v>607</v>
      </c>
      <c r="J7" s="718" t="s">
        <v>166</v>
      </c>
    </row>
    <row r="8" spans="3:10" ht="15.75" thickBot="1" x14ac:dyDescent="0.3">
      <c r="D8" s="532"/>
      <c r="H8" s="719"/>
      <c r="I8" s="720" t="s">
        <v>638</v>
      </c>
      <c r="J8" s="770">
        <f>IF(E36&lt;35,35,E36)</f>
        <v>35</v>
      </c>
    </row>
    <row r="10" spans="3:10" ht="15.75" thickBot="1" x14ac:dyDescent="0.3">
      <c r="H10" s="713" t="s">
        <v>624</v>
      </c>
      <c r="I10" s="714" t="s">
        <v>608</v>
      </c>
      <c r="J10" s="715"/>
    </row>
    <row r="11" spans="3:10" ht="15.75" thickBot="1" x14ac:dyDescent="0.3">
      <c r="H11" s="721"/>
      <c r="I11" s="720" t="s">
        <v>639</v>
      </c>
      <c r="J11" s="770">
        <f>39.1+7.25*LN(J10+1)</f>
        <v>39.1</v>
      </c>
    </row>
    <row r="12" spans="3:10" ht="15.75" thickBot="1" x14ac:dyDescent="0.3"/>
    <row r="13" spans="3:10" ht="15.75" thickBot="1" x14ac:dyDescent="0.3">
      <c r="C13" s="711"/>
      <c r="D13" s="711"/>
      <c r="E13" s="712"/>
      <c r="H13" s="776" t="s">
        <v>644</v>
      </c>
      <c r="I13" s="777"/>
      <c r="J13" s="778"/>
    </row>
    <row r="14" spans="3:10" x14ac:dyDescent="0.25">
      <c r="C14" s="711"/>
      <c r="D14" s="712" t="s">
        <v>1</v>
      </c>
      <c r="E14" s="712"/>
    </row>
    <row r="18" spans="4:6" x14ac:dyDescent="0.25">
      <c r="D18" s="711"/>
      <c r="E18" s="712"/>
      <c r="F18" s="712"/>
    </row>
    <row r="36" spans="5:5" x14ac:dyDescent="0.25">
      <c r="E36" s="726">
        <f>IF(IF(J7="M",IF(J6&lt;1,35,(LN(J6)-LN(5.4175))/0.0426),IF(J6&lt;1,35,(LN(J6)-LN(4.1942))/0.0392))&gt;75,75,IF(J7="M",IF(J6&lt;1,35,(LN(J6)-LN(5.4175))/0.0426),IF(J6&lt;1,35,(LN(J6)-LN(4.1942))/0.0392)))</f>
        <v>35</v>
      </c>
    </row>
  </sheetData>
  <mergeCells count="3">
    <mergeCell ref="C3:E3"/>
    <mergeCell ref="H13:J13"/>
    <mergeCell ref="H3:J3"/>
  </mergeCells>
  <pageMargins left="0.7" right="0.7" top="0.78740157499999996" bottom="0.78740157499999996"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2DD11-9B35-4802-B801-E9FB5582AEB3}">
  <sheetPr codeName="Tabelle3"/>
  <dimension ref="B2:AH151"/>
  <sheetViews>
    <sheetView topLeftCell="B1" zoomScale="70" zoomScaleNormal="70" workbookViewId="0">
      <selection activeCell="L17" sqref="L17"/>
    </sheetView>
  </sheetViews>
  <sheetFormatPr baseColWidth="10" defaultColWidth="10.7109375" defaultRowHeight="15" x14ac:dyDescent="0.25"/>
  <cols>
    <col min="1" max="1" width="7.7109375" style="364" customWidth="1"/>
    <col min="2" max="2" width="18.7109375" style="364" customWidth="1"/>
    <col min="3" max="3" width="63.28515625" style="364" customWidth="1"/>
    <col min="4" max="8" width="25.5703125" style="364" customWidth="1"/>
    <col min="9" max="9" width="25.5703125" style="226" customWidth="1"/>
    <col min="10" max="10" width="15" style="226" customWidth="1"/>
    <col min="11" max="11" width="13.28515625" style="226" customWidth="1"/>
    <col min="12" max="12" width="19.42578125" style="226" customWidth="1"/>
    <col min="13" max="16" width="19.42578125" style="364" customWidth="1"/>
    <col min="17" max="17" width="22.28515625" style="364" customWidth="1"/>
    <col min="18" max="18" width="13.5703125" style="364" customWidth="1"/>
    <col min="19" max="16384" width="10.7109375" style="364"/>
  </cols>
  <sheetData>
    <row r="2" spans="2:24" ht="31.5" x14ac:dyDescent="0.25">
      <c r="C2" s="365" t="s">
        <v>227</v>
      </c>
      <c r="D2" s="366"/>
      <c r="E2" s="366"/>
      <c r="F2" s="366"/>
      <c r="G2" s="366"/>
      <c r="H2" s="366"/>
      <c r="I2" s="367"/>
      <c r="J2" s="367"/>
      <c r="K2" s="367"/>
      <c r="V2" s="574" t="s">
        <v>489</v>
      </c>
      <c r="W2" s="575">
        <v>352.97</v>
      </c>
    </row>
    <row r="3" spans="2:24" s="369" customFormat="1" ht="21" x14ac:dyDescent="0.25">
      <c r="B3" s="368">
        <v>1</v>
      </c>
      <c r="C3" s="368" t="s">
        <v>228</v>
      </c>
      <c r="G3" s="369" t="s">
        <v>1</v>
      </c>
      <c r="I3" s="370"/>
      <c r="J3" s="370"/>
      <c r="K3" s="370"/>
      <c r="L3" s="370"/>
      <c r="V3" s="576"/>
      <c r="W3" s="577">
        <f>W2/365</f>
        <v>0.96704109589041098</v>
      </c>
    </row>
    <row r="4" spans="2:24" s="369" customFormat="1" ht="21" x14ac:dyDescent="0.25">
      <c r="B4" s="368">
        <v>2</v>
      </c>
      <c r="C4" s="368" t="s">
        <v>229</v>
      </c>
      <c r="I4" s="370"/>
      <c r="J4" s="370"/>
      <c r="K4" s="370"/>
      <c r="L4" s="370"/>
    </row>
    <row r="5" spans="2:24" s="369" customFormat="1" ht="21" x14ac:dyDescent="0.25">
      <c r="B5" s="368">
        <v>3</v>
      </c>
      <c r="C5" s="368" t="s">
        <v>230</v>
      </c>
      <c r="I5" s="370"/>
      <c r="J5" s="370"/>
      <c r="K5" s="370"/>
      <c r="L5" s="370"/>
    </row>
    <row r="6" spans="2:24" s="369" customFormat="1" ht="21" x14ac:dyDescent="0.25">
      <c r="B6" s="368">
        <v>4</v>
      </c>
      <c r="C6" s="368" t="s">
        <v>231</v>
      </c>
      <c r="G6" s="371">
        <f>'Calculator (for experts)'!E40</f>
        <v>20</v>
      </c>
      <c r="I6" s="370"/>
      <c r="J6" s="370"/>
      <c r="K6" s="370"/>
      <c r="L6" s="370"/>
    </row>
    <row r="7" spans="2:24" s="369" customFormat="1" ht="21" x14ac:dyDescent="0.25">
      <c r="B7" s="368">
        <v>5</v>
      </c>
      <c r="C7" s="368" t="s">
        <v>232</v>
      </c>
      <c r="G7" s="372"/>
      <c r="I7" s="370"/>
      <c r="J7" s="370"/>
      <c r="K7" s="370"/>
      <c r="L7" s="370"/>
    </row>
    <row r="8" spans="2:24" s="369" customFormat="1" ht="21" x14ac:dyDescent="0.25">
      <c r="B8" s="368">
        <v>6</v>
      </c>
      <c r="C8" s="368" t="s">
        <v>233</v>
      </c>
      <c r="I8" s="370"/>
      <c r="J8" s="370"/>
      <c r="V8" s="370">
        <v>11.1</v>
      </c>
      <c r="W8" s="370">
        <v>9.5</v>
      </c>
      <c r="X8" s="370">
        <f>W8/V8</f>
        <v>0.85585585585585588</v>
      </c>
    </row>
    <row r="9" spans="2:24" s="369" customFormat="1" ht="21" x14ac:dyDescent="0.25">
      <c r="B9" s="368">
        <v>7</v>
      </c>
      <c r="C9" s="368" t="s">
        <v>234</v>
      </c>
      <c r="I9" s="370"/>
      <c r="J9" s="370"/>
      <c r="V9" s="370"/>
      <c r="W9" s="370"/>
      <c r="X9" s="370">
        <f>(1-X8)*100</f>
        <v>14.414414414414411</v>
      </c>
    </row>
    <row r="10" spans="2:24" s="369" customFormat="1" ht="21" x14ac:dyDescent="0.25">
      <c r="B10" s="373" t="s">
        <v>235</v>
      </c>
      <c r="C10" s="374" t="s">
        <v>236</v>
      </c>
      <c r="D10" s="375"/>
      <c r="E10" s="375"/>
      <c r="F10" s="375"/>
      <c r="G10" s="375"/>
      <c r="H10" s="375"/>
      <c r="I10" s="370"/>
      <c r="J10" s="370"/>
      <c r="K10" s="370"/>
      <c r="L10" s="370"/>
    </row>
    <row r="11" spans="2:24" s="369" customFormat="1" ht="21" x14ac:dyDescent="0.25">
      <c r="B11" s="368" t="s">
        <v>1</v>
      </c>
      <c r="C11" s="374" t="s">
        <v>237</v>
      </c>
      <c r="D11" s="374"/>
      <c r="E11" s="374"/>
      <c r="F11" s="374"/>
      <c r="G11" s="374"/>
      <c r="H11" s="374"/>
      <c r="I11" s="370"/>
      <c r="J11" s="370"/>
      <c r="K11" s="370"/>
      <c r="L11" s="370"/>
    </row>
    <row r="12" spans="2:24" s="369" customFormat="1" ht="24" customHeight="1" x14ac:dyDescent="0.25">
      <c r="C12" s="369" t="s">
        <v>497</v>
      </c>
      <c r="D12" s="578">
        <v>20</v>
      </c>
      <c r="E12" s="578">
        <f>D12/10</f>
        <v>2</v>
      </c>
      <c r="I12" s="370"/>
      <c r="J12" s="370"/>
      <c r="K12" s="370"/>
      <c r="L12" s="370"/>
    </row>
    <row r="13" spans="2:24" s="477" customFormat="1" ht="24" customHeight="1" x14ac:dyDescent="0.25">
      <c r="C13" s="490" t="s">
        <v>164</v>
      </c>
      <c r="D13" s="486">
        <f>IF('Calculator (for experts)'!M33=20,'Calculator (for experts)'!O6,'Calculator (for experts)'!O5)</f>
        <v>95.427138089740623</v>
      </c>
      <c r="E13" s="490" t="s">
        <v>1</v>
      </c>
      <c r="F13" s="490" t="s">
        <v>1</v>
      </c>
      <c r="G13" s="490"/>
      <c r="H13" s="490"/>
      <c r="I13" s="478"/>
      <c r="J13" s="478"/>
      <c r="K13" s="478"/>
      <c r="L13" s="478"/>
    </row>
    <row r="14" spans="2:24" s="477" customFormat="1" ht="24" customHeight="1" x14ac:dyDescent="0.25">
      <c r="C14" s="490" t="s">
        <v>60</v>
      </c>
      <c r="D14" s="486">
        <f>'Calculator (for experts)'!E17</f>
        <v>2.9</v>
      </c>
      <c r="E14" s="490" t="s">
        <v>1</v>
      </c>
      <c r="F14" s="490"/>
      <c r="G14" s="490"/>
      <c r="H14" s="490"/>
      <c r="I14" s="478"/>
      <c r="J14" s="478"/>
      <c r="K14" s="478"/>
      <c r="L14" s="478"/>
      <c r="V14" s="478">
        <v>2.38</v>
      </c>
      <c r="W14" s="478"/>
      <c r="X14" s="478">
        <v>2.38</v>
      </c>
    </row>
    <row r="15" spans="2:24" s="477" customFormat="1" ht="30.75" customHeight="1" x14ac:dyDescent="0.25">
      <c r="C15" s="483" t="s">
        <v>496</v>
      </c>
      <c r="D15" s="484" t="s">
        <v>238</v>
      </c>
      <c r="E15" s="484" t="s">
        <v>239</v>
      </c>
      <c r="F15" s="484" t="s">
        <v>240</v>
      </c>
      <c r="G15" s="484" t="s">
        <v>241</v>
      </c>
      <c r="H15" s="484" t="s">
        <v>242</v>
      </c>
      <c r="I15" s="485" t="s">
        <v>431</v>
      </c>
      <c r="K15" s="478"/>
      <c r="L15" s="595" t="s">
        <v>238</v>
      </c>
      <c r="M15" s="595" t="s">
        <v>239</v>
      </c>
      <c r="N15" s="595" t="s">
        <v>505</v>
      </c>
      <c r="O15" s="595" t="s">
        <v>241</v>
      </c>
      <c r="P15" s="595" t="s">
        <v>242</v>
      </c>
      <c r="V15" s="561">
        <f>V14-V19</f>
        <v>1.5499999999999998</v>
      </c>
      <c r="W15" s="478"/>
      <c r="X15" s="478">
        <v>1.1000000000000001</v>
      </c>
    </row>
    <row r="16" spans="2:24" s="477" customFormat="1" ht="30.75" customHeight="1" x14ac:dyDescent="0.25">
      <c r="C16" s="558" t="s">
        <v>352</v>
      </c>
      <c r="D16" s="490">
        <v>0.48</v>
      </c>
      <c r="E16" s="486">
        <v>0.5</v>
      </c>
      <c r="F16" s="490">
        <v>0.22</v>
      </c>
      <c r="G16" s="486">
        <v>0.55000000000000004</v>
      </c>
      <c r="H16" s="486">
        <f>X16</f>
        <v>0.46218487394957991</v>
      </c>
      <c r="I16" s="486" t="s">
        <v>432</v>
      </c>
      <c r="K16" s="595" t="s">
        <v>506</v>
      </c>
      <c r="L16" s="488">
        <v>-6866.1157095643293</v>
      </c>
      <c r="M16" s="488">
        <v>3014.4700380435006</v>
      </c>
      <c r="N16" s="488">
        <v>104902.8108595848</v>
      </c>
      <c r="O16" s="488">
        <v>688854.81392819353</v>
      </c>
      <c r="P16" s="488">
        <v>711456.34319598286</v>
      </c>
      <c r="V16" s="478">
        <f>V15/V14</f>
        <v>0.65126050420168058</v>
      </c>
      <c r="W16" s="478"/>
      <c r="X16" s="478">
        <f>X15/X14</f>
        <v>0.46218487394957991</v>
      </c>
    </row>
    <row r="17" spans="3:34" s="477" customFormat="1" ht="30.75" customHeight="1" x14ac:dyDescent="0.25">
      <c r="C17" s="558" t="s">
        <v>353</v>
      </c>
      <c r="D17" s="489">
        <v>22</v>
      </c>
      <c r="E17" s="489">
        <v>22</v>
      </c>
      <c r="F17" s="489">
        <v>22</v>
      </c>
      <c r="G17" s="562">
        <v>11</v>
      </c>
      <c r="H17" s="562">
        <v>15</v>
      </c>
      <c r="I17" s="489">
        <f>pepqaly!F11</f>
        <v>24.07407407407408</v>
      </c>
      <c r="K17" s="595" t="s">
        <v>507</v>
      </c>
      <c r="L17" s="488">
        <v>-11668.351972429222</v>
      </c>
      <c r="M17" s="488">
        <v>-6728.0590986253101</v>
      </c>
      <c r="N17" s="488">
        <v>44216.111312145345</v>
      </c>
      <c r="O17" s="488">
        <v>336192.11284644972</v>
      </c>
      <c r="P17" s="488">
        <v>347492.87748034438</v>
      </c>
      <c r="V17" s="479"/>
      <c r="W17" s="479"/>
      <c r="X17" s="479"/>
    </row>
    <row r="18" spans="3:34" s="477" customFormat="1" ht="30.75" customHeight="1" x14ac:dyDescent="0.25">
      <c r="C18" s="558" t="s">
        <v>354</v>
      </c>
      <c r="D18" s="486">
        <v>0.37</v>
      </c>
      <c r="E18" s="486">
        <v>0.68</v>
      </c>
      <c r="F18" s="486">
        <v>1.23333</v>
      </c>
      <c r="G18" s="486">
        <f>'Calculator (for experts)'!E41</f>
        <v>15.8</v>
      </c>
      <c r="H18" s="486">
        <f>'Calculator (for experts)'!E41</f>
        <v>15.8</v>
      </c>
      <c r="I18" s="486">
        <f>pepqaly!F21</f>
        <v>12.062628987450909</v>
      </c>
      <c r="K18" s="595" t="s">
        <v>508</v>
      </c>
      <c r="L18" s="488">
        <v>-13269.097393384185</v>
      </c>
      <c r="M18" s="488">
        <v>-9975.5688108482409</v>
      </c>
      <c r="N18" s="488">
        <v>23987.211462998846</v>
      </c>
      <c r="O18" s="488">
        <v>218637.87915253514</v>
      </c>
      <c r="P18" s="488">
        <v>226171.72224179821</v>
      </c>
      <c r="Q18" s="581"/>
      <c r="R18" s="480"/>
      <c r="V18" s="479"/>
      <c r="W18" s="479"/>
      <c r="X18" s="479"/>
    </row>
    <row r="19" spans="3:34" s="477" customFormat="1" ht="30.75" customHeight="1" x14ac:dyDescent="0.25">
      <c r="C19" s="568" t="s">
        <v>453</v>
      </c>
      <c r="D19" s="569">
        <v>240780</v>
      </c>
      <c r="E19" s="569">
        <f>D19</f>
        <v>240780</v>
      </c>
      <c r="F19" s="569">
        <f>D19</f>
        <v>240780</v>
      </c>
      <c r="G19" s="569">
        <f>D19</f>
        <v>240780</v>
      </c>
      <c r="H19" s="569">
        <f>D19</f>
        <v>240780</v>
      </c>
      <c r="I19" s="569">
        <f>H19</f>
        <v>240780</v>
      </c>
      <c r="K19" s="595" t="s">
        <v>509</v>
      </c>
      <c r="L19" s="488">
        <v>-14069.470103861668</v>
      </c>
      <c r="M19" s="488">
        <v>-11599.323666959717</v>
      </c>
      <c r="N19" s="488">
        <v>13872.761538425615</v>
      </c>
      <c r="O19" s="488">
        <v>159860.76230557778</v>
      </c>
      <c r="P19" s="488">
        <v>165511.14462252514</v>
      </c>
      <c r="Q19" s="581"/>
      <c r="R19" s="480"/>
      <c r="V19" s="560">
        <v>0.83</v>
      </c>
      <c r="W19" s="479"/>
      <c r="X19" s="479"/>
    </row>
    <row r="20" spans="3:34" s="477" customFormat="1" ht="30.75" customHeight="1" x14ac:dyDescent="0.25">
      <c r="C20" s="558" t="s">
        <v>349</v>
      </c>
      <c r="D20" s="488">
        <f>D57</f>
        <v>-45714.476490454137</v>
      </c>
      <c r="E20" s="488">
        <f>E57</f>
        <v>-44822.975227135314</v>
      </c>
      <c r="F20" s="488">
        <f>F57</f>
        <v>-35629.837605526824</v>
      </c>
      <c r="G20" s="488">
        <f>G57</f>
        <v>30730.938488457876</v>
      </c>
      <c r="H20" s="488">
        <f>H57</f>
        <v>33198.615345409955</v>
      </c>
      <c r="I20" s="488">
        <f>pepqaly!F54</f>
        <v>-178572.76864137896</v>
      </c>
      <c r="K20" s="595" t="s">
        <v>510</v>
      </c>
      <c r="L20" s="488">
        <v>-69647.292180152552</v>
      </c>
      <c r="M20" s="488">
        <v>-59766.706432544728</v>
      </c>
      <c r="N20" s="488">
        <v>42121.634388996572</v>
      </c>
      <c r="O20" s="488">
        <v>626073.63745760533</v>
      </c>
      <c r="P20" s="488">
        <v>648675.16672539467</v>
      </c>
      <c r="Q20" s="581"/>
      <c r="R20" s="480"/>
    </row>
    <row r="21" spans="3:34" s="477" customFormat="1" ht="30.75" customHeight="1" x14ac:dyDescent="0.25">
      <c r="C21" s="568" t="s">
        <v>350</v>
      </c>
      <c r="D21" s="570">
        <f>D98</f>
        <v>18.949205582860358</v>
      </c>
      <c r="E21" s="570">
        <f>E98</f>
        <v>19.752454445616522</v>
      </c>
      <c r="F21" s="570">
        <f>F98</f>
        <v>8.5069703670301742</v>
      </c>
      <c r="G21" s="570">
        <f>G98</f>
        <v>10.715904739609634</v>
      </c>
      <c r="H21" s="570">
        <f>H98</f>
        <v>12.32746495795447</v>
      </c>
      <c r="I21" s="570">
        <f>pepqaly!F19</f>
        <v>12.062628987450909</v>
      </c>
      <c r="K21" s="595" t="s">
        <v>511</v>
      </c>
      <c r="L21" s="488">
        <v>-50964.822560664521</v>
      </c>
      <c r="M21" s="488">
        <v>-46024.529686860602</v>
      </c>
      <c r="N21" s="488">
        <v>4919.6407239100545</v>
      </c>
      <c r="O21" s="488">
        <v>296895.64225821442</v>
      </c>
      <c r="P21" s="488">
        <v>308196.40689210908</v>
      </c>
      <c r="Q21" s="581"/>
      <c r="R21" s="480"/>
      <c r="V21" s="364" t="s">
        <v>246</v>
      </c>
      <c r="W21" s="364" t="s">
        <v>1</v>
      </c>
      <c r="X21" s="364"/>
      <c r="Y21" s="364"/>
      <c r="Z21" s="364"/>
      <c r="AA21" s="364"/>
      <c r="AB21" s="364"/>
      <c r="AC21" s="364"/>
      <c r="AD21" s="364"/>
      <c r="AE21" s="364"/>
      <c r="AF21" s="364"/>
      <c r="AG21" s="364"/>
      <c r="AH21" s="364"/>
    </row>
    <row r="22" spans="3:34" s="477" customFormat="1" ht="30.75" customHeight="1" x14ac:dyDescent="0.25">
      <c r="C22" s="487" t="s">
        <v>351</v>
      </c>
      <c r="D22" s="491">
        <f>D42</f>
        <v>1.7109455515162484</v>
      </c>
      <c r="E22" s="491">
        <f>E42</f>
        <v>1.6425077294555981</v>
      </c>
      <c r="F22" s="491">
        <f>F42</f>
        <v>4.1062693236389958</v>
      </c>
      <c r="G22" s="491">
        <f>G42</f>
        <v>2.5269349683932281</v>
      </c>
      <c r="H22" s="491">
        <f>H42</f>
        <v>2.6061122640695493</v>
      </c>
      <c r="I22" s="492">
        <f>pepqaly!F39</f>
        <v>2.1768174727724796</v>
      </c>
      <c r="K22" s="595" t="s">
        <v>512</v>
      </c>
      <c r="L22" s="488">
        <v>-44737.332687501832</v>
      </c>
      <c r="M22" s="488">
        <v>-41443.804104965893</v>
      </c>
      <c r="N22" s="488">
        <v>-7481.0238311187923</v>
      </c>
      <c r="O22" s="488">
        <v>187169.64385841749</v>
      </c>
      <c r="P22" s="488">
        <v>194703.48694768056</v>
      </c>
      <c r="Q22" s="581"/>
      <c r="R22" s="480"/>
      <c r="V22" s="393" t="s">
        <v>248</v>
      </c>
      <c r="W22" s="364">
        <v>28</v>
      </c>
      <c r="X22" s="364">
        <v>36.200000000000003</v>
      </c>
      <c r="Y22" s="364">
        <f>X22/W22</f>
        <v>1.2928571428571429</v>
      </c>
      <c r="Z22" s="364"/>
      <c r="AA22" s="364"/>
      <c r="AB22" s="364"/>
      <c r="AC22" s="364"/>
      <c r="AD22" s="364" t="s">
        <v>249</v>
      </c>
      <c r="AE22" s="364"/>
      <c r="AF22" s="364"/>
      <c r="AG22" s="364"/>
      <c r="AH22" s="364"/>
    </row>
    <row r="23" spans="3:34" ht="18" x14ac:dyDescent="0.25">
      <c r="C23" s="379"/>
      <c r="D23" s="380"/>
      <c r="E23" s="380"/>
      <c r="F23" s="380"/>
      <c r="G23" s="380"/>
      <c r="H23" s="380"/>
      <c r="I23" s="377"/>
      <c r="K23" s="595" t="s">
        <v>513</v>
      </c>
      <c r="L23" s="488">
        <v>-41623.587750920487</v>
      </c>
      <c r="M23" s="488">
        <v>-39153.441314018535</v>
      </c>
      <c r="N23" s="488">
        <v>-13681.356108633208</v>
      </c>
      <c r="O23" s="488">
        <v>132306.64465851898</v>
      </c>
      <c r="P23" s="488">
        <v>137957.02697546632</v>
      </c>
      <c r="Q23" s="582"/>
      <c r="R23" s="378"/>
      <c r="V23" s="364" t="s">
        <v>250</v>
      </c>
      <c r="W23" s="364">
        <v>28</v>
      </c>
      <c r="X23" s="364">
        <v>36.200000000000003</v>
      </c>
      <c r="Y23" s="364">
        <f>X23/W23</f>
        <v>1.2928571428571429</v>
      </c>
      <c r="AD23" s="364" t="s">
        <v>251</v>
      </c>
    </row>
    <row r="24" spans="3:34" ht="18" x14ac:dyDescent="0.25">
      <c r="I24" s="382"/>
      <c r="J24" s="382"/>
      <c r="K24" s="488"/>
      <c r="L24" s="488"/>
      <c r="M24" s="488"/>
      <c r="N24" s="488"/>
      <c r="O24" s="488"/>
      <c r="P24" s="583"/>
      <c r="Q24" s="583"/>
      <c r="R24" s="378"/>
      <c r="V24" s="364" t="s">
        <v>253</v>
      </c>
      <c r="W24" s="364">
        <v>28</v>
      </c>
      <c r="X24" s="364">
        <v>35.9</v>
      </c>
      <c r="Y24" s="364">
        <f>X24/W24</f>
        <v>1.282142857142857</v>
      </c>
      <c r="AA24" s="364" t="s">
        <v>254</v>
      </c>
      <c r="AD24" s="364" t="s">
        <v>255</v>
      </c>
    </row>
    <row r="25" spans="3:34" ht="21" x14ac:dyDescent="0.25">
      <c r="C25" s="381"/>
      <c r="D25" s="381" t="s">
        <v>275</v>
      </c>
      <c r="E25" s="378"/>
      <c r="F25" s="378"/>
      <c r="G25" s="378"/>
      <c r="H25" s="381" t="s">
        <v>1</v>
      </c>
      <c r="I25" s="385"/>
      <c r="J25" s="385"/>
      <c r="K25" s="385"/>
      <c r="L25" s="385"/>
      <c r="M25" s="408"/>
      <c r="N25" s="408"/>
      <c r="O25" s="408"/>
      <c r="P25" s="408"/>
      <c r="Q25" s="408"/>
      <c r="R25" s="386"/>
      <c r="V25" s="364" t="s">
        <v>257</v>
      </c>
      <c r="W25" s="364">
        <v>28</v>
      </c>
      <c r="X25" s="364">
        <v>36.200000000000003</v>
      </c>
      <c r="Y25" s="364">
        <f>X25/W25</f>
        <v>1.2928571428571429</v>
      </c>
      <c r="AA25" s="364">
        <f>W25*0.7</f>
        <v>19.599999999999998</v>
      </c>
      <c r="AD25" s="364" t="s">
        <v>258</v>
      </c>
    </row>
    <row r="26" spans="3:34" ht="21" x14ac:dyDescent="0.25">
      <c r="C26" s="422" t="s">
        <v>276</v>
      </c>
      <c r="D26" s="376" t="s">
        <v>222</v>
      </c>
      <c r="E26" s="376" t="s">
        <v>244</v>
      </c>
      <c r="F26" s="423" t="s">
        <v>245</v>
      </c>
      <c r="G26" s="423" t="s">
        <v>241</v>
      </c>
      <c r="H26" s="423" t="s">
        <v>242</v>
      </c>
      <c r="I26" s="391"/>
      <c r="J26" s="391"/>
      <c r="K26" s="391"/>
      <c r="L26" s="391"/>
      <c r="M26" s="584"/>
      <c r="N26" s="584"/>
      <c r="O26" s="584"/>
      <c r="P26" s="584"/>
      <c r="Q26" s="584"/>
      <c r="R26" s="392"/>
      <c r="S26" s="393"/>
      <c r="V26" s="408"/>
      <c r="AD26" s="364" t="s">
        <v>260</v>
      </c>
    </row>
    <row r="27" spans="3:34" ht="21" x14ac:dyDescent="0.25">
      <c r="C27" s="424" t="s">
        <v>277</v>
      </c>
      <c r="D27" s="425">
        <f>$D$13*$E$12</f>
        <v>190.85427617948125</v>
      </c>
      <c r="E27" s="425">
        <f>$D$13*$E$12</f>
        <v>190.85427617948125</v>
      </c>
      <c r="F27" s="425">
        <f>$D$13*$E$12</f>
        <v>190.85427617948125</v>
      </c>
      <c r="G27" s="425">
        <f>$D$13*$E$12</f>
        <v>190.85427617948125</v>
      </c>
      <c r="H27" s="425">
        <f>$D$13*$E$12</f>
        <v>190.85427617948125</v>
      </c>
      <c r="I27" s="397"/>
      <c r="J27" s="397"/>
      <c r="K27" s="397"/>
      <c r="L27" s="397"/>
      <c r="M27" s="585"/>
      <c r="N27" s="585"/>
      <c r="O27" s="585"/>
      <c r="P27" s="585"/>
      <c r="Q27" s="585"/>
      <c r="R27" s="398"/>
      <c r="V27" s="364" t="s">
        <v>262</v>
      </c>
      <c r="W27" s="364" t="s">
        <v>248</v>
      </c>
      <c r="AA27" s="364" t="s">
        <v>263</v>
      </c>
    </row>
    <row r="28" spans="3:34" ht="21" x14ac:dyDescent="0.25">
      <c r="C28" s="428" t="s">
        <v>279</v>
      </c>
      <c r="D28" s="425">
        <f>D27/4.5</f>
        <v>42.412061373218052</v>
      </c>
      <c r="E28" s="425">
        <f>E27/4.5</f>
        <v>42.412061373218052</v>
      </c>
      <c r="F28" s="425">
        <f>F27/4.5</f>
        <v>42.412061373218052</v>
      </c>
      <c r="G28" s="425">
        <f>G27/4.5</f>
        <v>42.412061373218052</v>
      </c>
      <c r="H28" s="425">
        <f>H27/4.5</f>
        <v>42.412061373218052</v>
      </c>
      <c r="I28" s="401"/>
      <c r="J28" s="401"/>
      <c r="K28" s="401"/>
      <c r="L28" s="401"/>
      <c r="M28" s="586"/>
      <c r="N28" s="586"/>
      <c r="O28" s="586"/>
      <c r="P28" s="586"/>
      <c r="Q28" s="586"/>
      <c r="R28" s="402"/>
      <c r="W28" s="364">
        <v>90</v>
      </c>
      <c r="X28" s="364">
        <v>177.6</v>
      </c>
      <c r="Y28" s="364">
        <f>X28/W28</f>
        <v>1.9733333333333332</v>
      </c>
      <c r="AA28" s="364">
        <f>W28*AA31</f>
        <v>72.900000000000006</v>
      </c>
    </row>
    <row r="29" spans="3:34" ht="21" x14ac:dyDescent="0.25">
      <c r="C29" s="428" t="s">
        <v>280</v>
      </c>
      <c r="D29" s="425">
        <f>D27-D28</f>
        <v>148.44221480626319</v>
      </c>
      <c r="E29" s="426">
        <f>E27-E28</f>
        <v>148.44221480626319</v>
      </c>
      <c r="F29" s="426">
        <f>F27-F28</f>
        <v>148.44221480626319</v>
      </c>
      <c r="G29" s="426">
        <f>G27-G28</f>
        <v>148.44221480626319</v>
      </c>
      <c r="H29" s="426">
        <f>H27-H28</f>
        <v>148.44221480626319</v>
      </c>
      <c r="I29" s="405" t="s">
        <v>503</v>
      </c>
      <c r="J29" s="405" t="s">
        <v>504</v>
      </c>
      <c r="K29" s="405" t="s">
        <v>503</v>
      </c>
      <c r="L29" s="405"/>
      <c r="M29" s="587"/>
      <c r="N29" s="587"/>
      <c r="O29" s="587"/>
      <c r="P29" s="587"/>
      <c r="Q29" s="587"/>
      <c r="R29" s="392"/>
      <c r="Y29" s="364">
        <v>0.37</v>
      </c>
    </row>
    <row r="30" spans="3:34" ht="21" x14ac:dyDescent="0.25">
      <c r="C30" s="428" t="s">
        <v>281</v>
      </c>
      <c r="D30" s="431">
        <f>$I$30</f>
        <v>200000</v>
      </c>
      <c r="E30" s="431">
        <f>$I$30</f>
        <v>200000</v>
      </c>
      <c r="F30" s="431">
        <f>$I$30</f>
        <v>200000</v>
      </c>
      <c r="G30" s="431">
        <f>$I$30</f>
        <v>200000</v>
      </c>
      <c r="H30" s="431">
        <f>$I$30</f>
        <v>200000</v>
      </c>
      <c r="I30" s="431">
        <f>J30</f>
        <v>200000</v>
      </c>
      <c r="J30" s="431">
        <v>200000</v>
      </c>
      <c r="K30" s="431">
        <v>8500</v>
      </c>
      <c r="L30" s="397"/>
      <c r="M30" s="585"/>
      <c r="N30" s="585"/>
      <c r="O30" s="585"/>
      <c r="P30" s="585"/>
      <c r="Q30" s="585"/>
      <c r="R30" s="392"/>
      <c r="S30" s="408"/>
      <c r="V30" s="408"/>
      <c r="Y30" s="364">
        <f>Y28-Y29</f>
        <v>1.6033333333333331</v>
      </c>
    </row>
    <row r="31" spans="3:34" ht="21" x14ac:dyDescent="0.25">
      <c r="C31" s="428" t="s">
        <v>499</v>
      </c>
      <c r="D31" s="431">
        <f>$I$34</f>
        <v>176120</v>
      </c>
      <c r="E31" s="431">
        <f>$I$34</f>
        <v>176120</v>
      </c>
      <c r="F31" s="431">
        <f>$I$34</f>
        <v>176120</v>
      </c>
      <c r="G31" s="431">
        <f>$I$34</f>
        <v>176120</v>
      </c>
      <c r="H31" s="431">
        <f>$I$34</f>
        <v>176120</v>
      </c>
      <c r="I31" s="431">
        <f>J31</f>
        <v>35000</v>
      </c>
      <c r="J31" s="431">
        <v>35000</v>
      </c>
      <c r="K31" s="431">
        <v>25000</v>
      </c>
      <c r="L31" s="397"/>
      <c r="M31" s="585"/>
      <c r="N31" s="585"/>
      <c r="O31" s="585"/>
      <c r="P31" s="585"/>
      <c r="Q31" s="585"/>
      <c r="R31" s="392"/>
      <c r="Y31" s="364">
        <v>0.74</v>
      </c>
      <c r="AA31" s="364">
        <f>Y31+0.07</f>
        <v>0.81</v>
      </c>
      <c r="AD31" s="364" t="s">
        <v>267</v>
      </c>
    </row>
    <row r="32" spans="3:34" ht="21" x14ac:dyDescent="0.25">
      <c r="C32" s="428" t="s">
        <v>500</v>
      </c>
      <c r="D32" s="429">
        <f>1200*$E$12</f>
        <v>2400</v>
      </c>
      <c r="E32" s="429">
        <f>1200*$E$12</f>
        <v>2400</v>
      </c>
      <c r="F32" s="429">
        <f>1200*$E$12</f>
        <v>2400</v>
      </c>
      <c r="G32" s="429">
        <f>1200*$E$12</f>
        <v>2400</v>
      </c>
      <c r="H32" s="429">
        <f>1200*$E$12</f>
        <v>2400</v>
      </c>
      <c r="I32" s="431">
        <f>J32</f>
        <v>11200</v>
      </c>
      <c r="J32" s="431">
        <v>11200</v>
      </c>
      <c r="K32" s="431">
        <v>8000</v>
      </c>
      <c r="L32" s="397"/>
      <c r="M32" s="585"/>
      <c r="N32" s="585"/>
      <c r="O32" s="585"/>
      <c r="P32" s="585"/>
      <c r="Q32" s="585"/>
      <c r="R32" s="402"/>
      <c r="V32" s="393"/>
      <c r="Y32" s="364">
        <f>Y28-Y31</f>
        <v>1.2333333333333332</v>
      </c>
      <c r="AD32" s="364" t="s">
        <v>269</v>
      </c>
    </row>
    <row r="33" spans="3:22" ht="21" x14ac:dyDescent="0.25">
      <c r="C33" s="428" t="s">
        <v>282</v>
      </c>
      <c r="D33" s="425">
        <f>D18</f>
        <v>0.37</v>
      </c>
      <c r="E33" s="426">
        <f>E18</f>
        <v>0.68</v>
      </c>
      <c r="F33" s="426">
        <f>F18</f>
        <v>1.23333</v>
      </c>
      <c r="G33" s="426">
        <f>G18</f>
        <v>15.8</v>
      </c>
      <c r="H33" s="426">
        <f>H18</f>
        <v>15.8</v>
      </c>
      <c r="I33" s="431">
        <f>J33</f>
        <v>141120</v>
      </c>
      <c r="J33" s="431">
        <f>(I32*((D12/2)-1))*1.4</f>
        <v>141120</v>
      </c>
      <c r="K33" s="431">
        <v>32000</v>
      </c>
      <c r="L33" s="405"/>
      <c r="M33" s="587"/>
      <c r="N33" s="587"/>
      <c r="O33" s="587"/>
      <c r="P33" s="587"/>
      <c r="Q33" s="587"/>
      <c r="R33" s="392"/>
    </row>
    <row r="34" spans="3:22" ht="21" x14ac:dyDescent="0.25">
      <c r="C34" s="428" t="s">
        <v>498</v>
      </c>
      <c r="D34" s="429">
        <f>3650*$E$12</f>
        <v>7300</v>
      </c>
      <c r="E34" s="429">
        <f>3650*$E$12</f>
        <v>7300</v>
      </c>
      <c r="F34" s="429">
        <f>3650*$E$12</f>
        <v>7300</v>
      </c>
      <c r="G34" s="429">
        <f>3650*$E$12</f>
        <v>7300</v>
      </c>
      <c r="H34" s="429">
        <f>3650*$E$12</f>
        <v>7300</v>
      </c>
      <c r="I34" s="431">
        <f>I33+I31</f>
        <v>176120</v>
      </c>
      <c r="J34" s="431">
        <f>J33+J31</f>
        <v>176120</v>
      </c>
      <c r="K34" s="431">
        <v>57000</v>
      </c>
      <c r="L34" s="397"/>
      <c r="M34" s="585"/>
      <c r="N34" s="585"/>
      <c r="O34" s="585"/>
      <c r="P34" s="585"/>
      <c r="Q34" s="585"/>
      <c r="R34" s="398"/>
      <c r="S34" s="408"/>
      <c r="V34" s="364" t="s">
        <v>272</v>
      </c>
    </row>
    <row r="35" spans="3:22" ht="21" x14ac:dyDescent="0.25">
      <c r="C35" s="424" t="s">
        <v>501</v>
      </c>
      <c r="D35" s="431">
        <f>(D34*D33)+D32</f>
        <v>5101</v>
      </c>
      <c r="E35" s="430">
        <f>(E34*E33)+E32</f>
        <v>7364</v>
      </c>
      <c r="F35" s="432">
        <f>(F34*F33)+F32</f>
        <v>11403.309000000001</v>
      </c>
      <c r="G35" s="430">
        <f>(G34*G33)+G32</f>
        <v>117740</v>
      </c>
      <c r="H35" s="430">
        <f>(H34*H33)+H32</f>
        <v>117740</v>
      </c>
      <c r="I35" s="401"/>
      <c r="J35" s="401"/>
      <c r="K35" s="401"/>
      <c r="L35" s="401"/>
      <c r="M35" s="586"/>
      <c r="N35" s="586"/>
      <c r="O35" s="586"/>
      <c r="P35" s="586"/>
      <c r="Q35" s="586"/>
      <c r="R35" s="402"/>
    </row>
    <row r="36" spans="3:22" ht="21" x14ac:dyDescent="0.25">
      <c r="C36" s="428" t="s">
        <v>502</v>
      </c>
      <c r="D36" s="434">
        <f>1000*D35</f>
        <v>5101000</v>
      </c>
      <c r="E36" s="435">
        <f>1000*E35</f>
        <v>7364000</v>
      </c>
      <c r="F36" s="435">
        <f>1000*F35</f>
        <v>11403309.000000002</v>
      </c>
      <c r="G36" s="435">
        <f>1000*G35</f>
        <v>117740000</v>
      </c>
      <c r="H36" s="435">
        <f>1000*H35</f>
        <v>117740000</v>
      </c>
      <c r="I36" s="405"/>
      <c r="J36" s="405"/>
      <c r="K36" s="405"/>
      <c r="L36" s="405"/>
      <c r="M36" s="587"/>
      <c r="N36" s="587"/>
      <c r="O36" s="587"/>
      <c r="P36" s="587"/>
      <c r="Q36" s="587"/>
      <c r="R36" s="402"/>
      <c r="S36" s="393"/>
      <c r="V36" s="364" t="s">
        <v>274</v>
      </c>
    </row>
    <row r="37" spans="3:22" ht="21" x14ac:dyDescent="0.25">
      <c r="C37" s="428" t="s">
        <v>285</v>
      </c>
      <c r="D37" s="437">
        <f>D14</f>
        <v>2.9</v>
      </c>
      <c r="E37" s="438">
        <f>D14</f>
        <v>2.9</v>
      </c>
      <c r="F37" s="438">
        <f>D14</f>
        <v>2.9</v>
      </c>
      <c r="G37" s="438">
        <f>D14</f>
        <v>2.9</v>
      </c>
      <c r="H37" s="438">
        <f>D14</f>
        <v>2.9</v>
      </c>
      <c r="I37" s="405"/>
      <c r="J37" s="405"/>
      <c r="K37" s="405"/>
      <c r="L37" s="405"/>
      <c r="M37" s="587"/>
      <c r="N37" s="587"/>
      <c r="O37" s="587"/>
      <c r="P37" s="587"/>
      <c r="Q37" s="587"/>
      <c r="R37" s="402"/>
    </row>
    <row r="38" spans="3:22" ht="21" x14ac:dyDescent="0.25">
      <c r="C38" s="428" t="s">
        <v>494</v>
      </c>
      <c r="D38" s="437">
        <f>D37*D16</f>
        <v>1.3919999999999999</v>
      </c>
      <c r="E38" s="438">
        <f>E37*0.5</f>
        <v>1.45</v>
      </c>
      <c r="F38" s="438">
        <f>F37*0.2</f>
        <v>0.57999999999999996</v>
      </c>
      <c r="G38" s="438">
        <f>G37*G16</f>
        <v>1.595</v>
      </c>
      <c r="H38" s="438">
        <f>H37*H16</f>
        <v>1.3403361344537816</v>
      </c>
      <c r="I38" s="405"/>
      <c r="J38" s="405"/>
      <c r="M38" s="587"/>
      <c r="N38" s="587"/>
      <c r="O38" s="587"/>
      <c r="P38" s="587"/>
      <c r="Q38" s="587"/>
      <c r="R38" s="417"/>
      <c r="S38" s="364" t="s">
        <v>1</v>
      </c>
    </row>
    <row r="39" spans="3:22" ht="21" x14ac:dyDescent="0.25">
      <c r="C39" s="428" t="s">
        <v>252</v>
      </c>
      <c r="D39" s="425">
        <f>D17/100</f>
        <v>0.22</v>
      </c>
      <c r="E39" s="426">
        <f>E17/100</f>
        <v>0.22</v>
      </c>
      <c r="F39" s="426">
        <f>F17/100</f>
        <v>0.22</v>
      </c>
      <c r="G39" s="440">
        <v>0.13</v>
      </c>
      <c r="H39" s="440">
        <v>0.15</v>
      </c>
      <c r="I39" s="420"/>
      <c r="J39" s="420"/>
      <c r="M39" s="588"/>
      <c r="N39" s="588"/>
      <c r="O39" s="588"/>
      <c r="P39" s="588"/>
      <c r="Q39" s="588"/>
      <c r="R39" s="402"/>
    </row>
    <row r="40" spans="3:22" ht="21" x14ac:dyDescent="0.25">
      <c r="C40" s="428" t="s">
        <v>286</v>
      </c>
      <c r="D40" s="429">
        <f>D39*D38</f>
        <v>0.30623999999999996</v>
      </c>
      <c r="E40" s="440">
        <f>E39*E38</f>
        <v>0.31900000000000001</v>
      </c>
      <c r="F40" s="440">
        <f>F39*F38</f>
        <v>0.12759999999999999</v>
      </c>
      <c r="G40" s="440">
        <f>G39*G38</f>
        <v>0.20735000000000001</v>
      </c>
      <c r="H40" s="440">
        <f>H39*H38</f>
        <v>0.20105042016806723</v>
      </c>
      <c r="I40" s="405"/>
      <c r="J40" s="405"/>
      <c r="K40" s="405"/>
      <c r="L40" s="405"/>
      <c r="M40" s="587"/>
      <c r="N40" s="587"/>
      <c r="O40" s="587"/>
      <c r="P40" s="587"/>
      <c r="Q40" s="587"/>
      <c r="R40" s="417"/>
    </row>
    <row r="41" spans="3:22" ht="21" x14ac:dyDescent="0.25">
      <c r="C41" s="428" t="s">
        <v>287</v>
      </c>
      <c r="D41" s="579">
        <f>D27*D40</f>
        <v>58.447213537204327</v>
      </c>
      <c r="E41" s="580">
        <f>E27*E40</f>
        <v>60.882514101254522</v>
      </c>
      <c r="F41" s="580">
        <f>F27*F40</f>
        <v>24.353005640501806</v>
      </c>
      <c r="G41" s="580">
        <f>G27*G40</f>
        <v>39.573634165815434</v>
      </c>
      <c r="H41" s="580">
        <f>H27*H40</f>
        <v>38.371332416757049</v>
      </c>
      <c r="I41" s="420"/>
      <c r="J41" s="420"/>
      <c r="K41" s="420"/>
      <c r="L41" s="420"/>
      <c r="M41" s="588"/>
      <c r="N41" s="588"/>
      <c r="O41" s="588"/>
      <c r="P41" s="588"/>
      <c r="Q41" s="588"/>
      <c r="V41" s="364" t="s">
        <v>278</v>
      </c>
    </row>
    <row r="42" spans="3:22" ht="21" x14ac:dyDescent="0.25">
      <c r="C42" s="428" t="s">
        <v>67</v>
      </c>
      <c r="D42" s="425">
        <f>100/D41</f>
        <v>1.7109455515162484</v>
      </c>
      <c r="E42" s="426">
        <f>100/E41</f>
        <v>1.6425077294555981</v>
      </c>
      <c r="F42" s="426">
        <f>100/F41</f>
        <v>4.1062693236389958</v>
      </c>
      <c r="G42" s="426">
        <f>100/G41</f>
        <v>2.5269349683932281</v>
      </c>
      <c r="H42" s="426">
        <f>100/H41</f>
        <v>2.6061122640695493</v>
      </c>
    </row>
    <row r="43" spans="3:22" ht="21" x14ac:dyDescent="0.25">
      <c r="C43" s="428" t="s">
        <v>288</v>
      </c>
      <c r="D43" s="425">
        <f t="shared" ref="D43:H44" si="0">D28*10</f>
        <v>424.12061373218052</v>
      </c>
      <c r="E43" s="426">
        <f t="shared" si="0"/>
        <v>424.12061373218052</v>
      </c>
      <c r="F43" s="426">
        <f t="shared" si="0"/>
        <v>424.12061373218052</v>
      </c>
      <c r="G43" s="426">
        <f t="shared" si="0"/>
        <v>424.12061373218052</v>
      </c>
      <c r="H43" s="426">
        <f t="shared" si="0"/>
        <v>424.12061373218052</v>
      </c>
      <c r="R43" s="378"/>
    </row>
    <row r="44" spans="3:22" ht="21" x14ac:dyDescent="0.25">
      <c r="C44" s="428" t="s">
        <v>289</v>
      </c>
      <c r="D44" s="425">
        <f t="shared" si="0"/>
        <v>1484.422148062632</v>
      </c>
      <c r="E44" s="426">
        <f t="shared" si="0"/>
        <v>1484.422148062632</v>
      </c>
      <c r="F44" s="426">
        <f t="shared" si="0"/>
        <v>1484.422148062632</v>
      </c>
      <c r="G44" s="426">
        <f t="shared" si="0"/>
        <v>1484.422148062632</v>
      </c>
      <c r="H44" s="426">
        <f t="shared" si="0"/>
        <v>1484.422148062632</v>
      </c>
      <c r="I44" s="364"/>
      <c r="P44" s="582"/>
      <c r="Q44" s="582"/>
      <c r="R44" s="210"/>
    </row>
    <row r="45" spans="3:22" ht="21" x14ac:dyDescent="0.25">
      <c r="C45" s="428" t="s">
        <v>290</v>
      </c>
      <c r="D45" s="425">
        <f>D43+D44</f>
        <v>1908.5427617948126</v>
      </c>
      <c r="E45" s="426">
        <f>E43+E44</f>
        <v>1908.5427617948126</v>
      </c>
      <c r="F45" s="426">
        <f>F43+F44</f>
        <v>1908.5427617948126</v>
      </c>
      <c r="G45" s="426">
        <f>G43+G44</f>
        <v>1908.5427617948126</v>
      </c>
      <c r="H45" s="426">
        <f>H43+H44</f>
        <v>1908.5427617948126</v>
      </c>
      <c r="I45" s="364"/>
      <c r="P45" s="589"/>
      <c r="Q45" s="589"/>
      <c r="R45" s="427"/>
    </row>
    <row r="46" spans="3:22" ht="21" x14ac:dyDescent="0.25">
      <c r="C46" s="428" t="s">
        <v>291</v>
      </c>
      <c r="D46" s="425">
        <f>D43*D40</f>
        <v>129.88269674934295</v>
      </c>
      <c r="E46" s="426">
        <f>E43*E40</f>
        <v>135.29447578056559</v>
      </c>
      <c r="F46" s="426">
        <f>F43*F40</f>
        <v>54.117790312226234</v>
      </c>
      <c r="G46" s="426">
        <f>G43*G40</f>
        <v>87.941409257367638</v>
      </c>
      <c r="H46" s="426">
        <f>H43*H40</f>
        <v>85.269627592793441</v>
      </c>
      <c r="I46" s="364"/>
      <c r="P46" s="393"/>
      <c r="Q46" s="393"/>
      <c r="R46" s="427"/>
    </row>
    <row r="47" spans="3:22" ht="21" x14ac:dyDescent="0.25">
      <c r="C47" s="428" t="s">
        <v>292</v>
      </c>
      <c r="D47" s="425">
        <f>D44*D40</f>
        <v>454.58943862270036</v>
      </c>
      <c r="E47" s="426">
        <f>E44*E40</f>
        <v>473.53066523197964</v>
      </c>
      <c r="F47" s="426">
        <f>F44*F40</f>
        <v>189.41226609279184</v>
      </c>
      <c r="G47" s="426">
        <f>G44*G40</f>
        <v>307.79493240078676</v>
      </c>
      <c r="H47" s="426">
        <f>H44*H40</f>
        <v>298.44369657477705</v>
      </c>
      <c r="I47" s="364"/>
      <c r="P47" s="393"/>
      <c r="Q47" s="393"/>
      <c r="R47" s="427"/>
      <c r="V47" s="364" t="s">
        <v>283</v>
      </c>
    </row>
    <row r="48" spans="3:22" ht="21" x14ac:dyDescent="0.25">
      <c r="C48" s="428" t="s">
        <v>293</v>
      </c>
      <c r="D48" s="425">
        <f>D46+D47</f>
        <v>584.47213537204334</v>
      </c>
      <c r="E48" s="426">
        <f>E46+E47</f>
        <v>608.82514101254526</v>
      </c>
      <c r="F48" s="426">
        <f>F46+F47</f>
        <v>243.53005640501806</v>
      </c>
      <c r="G48" s="426">
        <f>G46+G47</f>
        <v>395.7363416581544</v>
      </c>
      <c r="H48" s="426">
        <f>H46+H47</f>
        <v>383.71332416757048</v>
      </c>
      <c r="I48" s="364"/>
      <c r="P48" s="393"/>
      <c r="Q48" s="393"/>
      <c r="R48" s="226"/>
    </row>
    <row r="49" spans="3:18" ht="21" x14ac:dyDescent="0.25">
      <c r="C49" s="442" t="s">
        <v>294</v>
      </c>
      <c r="D49" s="425">
        <f>(D46*$D$12)/2</f>
        <v>1298.8269674934295</v>
      </c>
      <c r="E49" s="425">
        <f>(E46*$D$12)/2</f>
        <v>1352.9447578056559</v>
      </c>
      <c r="F49" s="425">
        <f>(F46*$D$12)/2</f>
        <v>541.17790312226236</v>
      </c>
      <c r="G49" s="425">
        <f>(G46*$D$12)/2</f>
        <v>879.41409257367638</v>
      </c>
      <c r="H49" s="425">
        <f>(H46*$D$12)/2</f>
        <v>852.69627592793438</v>
      </c>
      <c r="I49" s="364"/>
      <c r="R49" s="226"/>
    </row>
    <row r="50" spans="3:18" ht="21" x14ac:dyDescent="0.25">
      <c r="C50" s="442" t="s">
        <v>295</v>
      </c>
      <c r="D50" s="425">
        <f>((D47*$D$12)/2)*($G$6/100)</f>
        <v>909.17887724540071</v>
      </c>
      <c r="E50" s="425">
        <f>((E47*$D$12)/2)*($G$6/100)</f>
        <v>947.06133046395939</v>
      </c>
      <c r="F50" s="425">
        <f>((F47*$D$12)/2)*($G$6/100)</f>
        <v>378.82453218558368</v>
      </c>
      <c r="G50" s="425">
        <f>((G47*$D$12)/2)*($G$6/100)</f>
        <v>615.58986480157364</v>
      </c>
      <c r="H50" s="425">
        <f>((H47*$D$12)/2)*($G$6/100)</f>
        <v>596.8873931495541</v>
      </c>
      <c r="I50" s="364"/>
      <c r="R50" s="226"/>
    </row>
    <row r="51" spans="3:18" ht="21" x14ac:dyDescent="0.25">
      <c r="C51" s="442" t="s">
        <v>296</v>
      </c>
      <c r="D51" s="425">
        <f>D49+D50</f>
        <v>2208.0058447388301</v>
      </c>
      <c r="E51" s="426">
        <f>E49+E50</f>
        <v>2300.0060882696152</v>
      </c>
      <c r="F51" s="426">
        <f>F49+F50</f>
        <v>920.0024353078461</v>
      </c>
      <c r="G51" s="426">
        <f>G49+G50</f>
        <v>1495.0039573752501</v>
      </c>
      <c r="H51" s="426">
        <f>H49+H50</f>
        <v>1449.5836690774886</v>
      </c>
      <c r="I51" s="364"/>
      <c r="R51" s="420"/>
    </row>
    <row r="52" spans="3:18" ht="21" x14ac:dyDescent="0.25">
      <c r="C52" s="442" t="s">
        <v>297</v>
      </c>
      <c r="D52" s="434">
        <f t="shared" ref="D52:H53" si="1">D46*D30</f>
        <v>25976539.349868592</v>
      </c>
      <c r="E52" s="435">
        <f t="shared" si="1"/>
        <v>27058895.156113118</v>
      </c>
      <c r="F52" s="435">
        <f t="shared" si="1"/>
        <v>10823558.062445248</v>
      </c>
      <c r="G52" s="435">
        <f t="shared" si="1"/>
        <v>17588281.851473529</v>
      </c>
      <c r="H52" s="435">
        <f t="shared" si="1"/>
        <v>17053925.518558688</v>
      </c>
      <c r="I52" s="364"/>
      <c r="P52" s="588"/>
      <c r="Q52" s="588"/>
      <c r="R52" s="226"/>
    </row>
    <row r="53" spans="3:18" ht="21" x14ac:dyDescent="0.25">
      <c r="C53" s="442" t="s">
        <v>298</v>
      </c>
      <c r="D53" s="434">
        <f t="shared" si="1"/>
        <v>80062291.930229992</v>
      </c>
      <c r="E53" s="435">
        <f t="shared" si="1"/>
        <v>83398220.760656253</v>
      </c>
      <c r="F53" s="435">
        <f t="shared" si="1"/>
        <v>33359288.3042625</v>
      </c>
      <c r="G53" s="435">
        <f t="shared" si="1"/>
        <v>54208843.494426563</v>
      </c>
      <c r="H53" s="435">
        <f t="shared" si="1"/>
        <v>52561903.840749733</v>
      </c>
      <c r="I53" s="364"/>
      <c r="R53" s="433"/>
    </row>
    <row r="54" spans="3:18" ht="21" x14ac:dyDescent="0.25">
      <c r="C54" s="442" t="s">
        <v>299</v>
      </c>
      <c r="D54" s="434">
        <f>D52+D53</f>
        <v>106038831.28009859</v>
      </c>
      <c r="E54" s="435">
        <f>E52+E53</f>
        <v>110457115.91676937</v>
      </c>
      <c r="F54" s="435">
        <f>F52+F53</f>
        <v>44182846.36670775</v>
      </c>
      <c r="G54" s="435">
        <f>G52+G53</f>
        <v>71797125.345900089</v>
      </c>
      <c r="H54" s="435">
        <f>H52+H53</f>
        <v>69615829.359308422</v>
      </c>
      <c r="I54" s="364"/>
      <c r="P54" s="590"/>
      <c r="Q54" s="590"/>
      <c r="R54" s="436"/>
    </row>
    <row r="55" spans="3:18" ht="21" x14ac:dyDescent="0.25">
      <c r="C55" s="428" t="s">
        <v>300</v>
      </c>
      <c r="D55" s="425">
        <f>D54/1000</f>
        <v>106038.83128009859</v>
      </c>
      <c r="E55" s="426">
        <f>E54/1000</f>
        <v>110457.11591676937</v>
      </c>
      <c r="F55" s="426">
        <f>F54/1000</f>
        <v>44182.846366707752</v>
      </c>
      <c r="G55" s="426">
        <f>G54/1000</f>
        <v>71797.125345900087</v>
      </c>
      <c r="H55" s="426">
        <f>H54/1000</f>
        <v>69615.829359308424</v>
      </c>
      <c r="I55" s="364"/>
      <c r="P55" s="591"/>
      <c r="Q55" s="591"/>
      <c r="R55" s="439"/>
    </row>
    <row r="56" spans="3:18" ht="21" x14ac:dyDescent="0.25">
      <c r="C56" s="428" t="s">
        <v>301</v>
      </c>
      <c r="D56" s="425">
        <f>D35-D55</f>
        <v>-100937.83128009859</v>
      </c>
      <c r="E56" s="426">
        <f>E35-E55</f>
        <v>-103093.11591676937</v>
      </c>
      <c r="F56" s="426">
        <f>F35-F55</f>
        <v>-32779.537366707751</v>
      </c>
      <c r="G56" s="426">
        <f>G35-G55</f>
        <v>45942.874654099913</v>
      </c>
      <c r="H56" s="426">
        <f>H35-H55</f>
        <v>48124.170640691576</v>
      </c>
      <c r="I56" s="364"/>
      <c r="P56" s="592"/>
      <c r="Q56" s="592"/>
      <c r="R56" s="439"/>
    </row>
    <row r="57" spans="3:18" ht="21" x14ac:dyDescent="0.25">
      <c r="C57" s="443" t="s">
        <v>302</v>
      </c>
      <c r="D57" s="444">
        <f>D56/D51*1000</f>
        <v>-45714.476490454137</v>
      </c>
      <c r="E57" s="444">
        <f>E56/E51*1000</f>
        <v>-44822.975227135314</v>
      </c>
      <c r="F57" s="445">
        <f>F56/F51*1000</f>
        <v>-35629.837605526824</v>
      </c>
      <c r="G57" s="445">
        <f>G56/G51*1000</f>
        <v>30730.938488457876</v>
      </c>
      <c r="H57" s="445">
        <f>H56/H51*1000</f>
        <v>33198.615345409955</v>
      </c>
      <c r="I57" s="364"/>
      <c r="P57" s="592"/>
      <c r="Q57" s="592"/>
      <c r="R57" s="427"/>
    </row>
    <row r="58" spans="3:18" x14ac:dyDescent="0.25">
      <c r="I58" s="364"/>
      <c r="P58" s="393"/>
      <c r="Q58" s="393"/>
      <c r="R58" s="441"/>
    </row>
    <row r="59" spans="3:18" x14ac:dyDescent="0.25">
      <c r="I59" s="364"/>
      <c r="P59" s="593"/>
      <c r="Q59" s="593"/>
      <c r="R59" s="226"/>
    </row>
    <row r="60" spans="3:18" x14ac:dyDescent="0.25">
      <c r="I60" s="364"/>
      <c r="R60" s="427"/>
    </row>
    <row r="61" spans="3:18" x14ac:dyDescent="0.25">
      <c r="I61" s="364"/>
      <c r="P61" s="393"/>
      <c r="Q61" s="393"/>
      <c r="R61" s="427"/>
    </row>
    <row r="62" spans="3:18" x14ac:dyDescent="0.25">
      <c r="I62" s="364"/>
      <c r="P62" s="393"/>
      <c r="Q62" s="393"/>
      <c r="R62" s="427"/>
    </row>
    <row r="63" spans="3:18" x14ac:dyDescent="0.25">
      <c r="I63" s="364"/>
      <c r="P63" s="393"/>
      <c r="Q63" s="393"/>
      <c r="R63" s="226"/>
    </row>
    <row r="64" spans="3:18" x14ac:dyDescent="0.25">
      <c r="I64" s="364"/>
      <c r="R64" s="427"/>
    </row>
    <row r="65" spans="3:18" x14ac:dyDescent="0.25">
      <c r="I65" s="364"/>
      <c r="P65" s="393"/>
      <c r="Q65" s="393"/>
      <c r="R65" s="427"/>
    </row>
    <row r="66" spans="3:18" x14ac:dyDescent="0.25">
      <c r="I66" s="364"/>
      <c r="P66" s="393"/>
      <c r="Q66" s="393"/>
      <c r="R66" s="427"/>
    </row>
    <row r="67" spans="3:18" x14ac:dyDescent="0.25">
      <c r="I67" s="364"/>
      <c r="P67" s="393"/>
      <c r="Q67" s="393"/>
      <c r="R67" s="427"/>
    </row>
    <row r="68" spans="3:18" x14ac:dyDescent="0.25">
      <c r="I68" s="364"/>
      <c r="P68" s="393"/>
      <c r="Q68" s="393"/>
      <c r="R68" s="427"/>
    </row>
    <row r="69" spans="3:18" x14ac:dyDescent="0.25">
      <c r="I69" s="364"/>
      <c r="P69" s="393"/>
      <c r="Q69" s="393"/>
      <c r="R69" s="427"/>
    </row>
    <row r="70" spans="3:18" x14ac:dyDescent="0.25">
      <c r="I70" s="364"/>
      <c r="P70" s="393"/>
      <c r="Q70" s="393"/>
      <c r="R70" s="436"/>
    </row>
    <row r="71" spans="3:18" x14ac:dyDescent="0.25">
      <c r="I71" s="364"/>
      <c r="P71" s="591"/>
      <c r="Q71" s="591"/>
      <c r="R71" s="436"/>
    </row>
    <row r="72" spans="3:18" x14ac:dyDescent="0.25">
      <c r="I72" s="364"/>
      <c r="P72" s="591"/>
      <c r="Q72" s="591"/>
      <c r="R72" s="436"/>
    </row>
    <row r="73" spans="3:18" x14ac:dyDescent="0.25">
      <c r="I73" s="364"/>
      <c r="P73" s="591"/>
      <c r="Q73" s="591"/>
      <c r="R73" s="427"/>
    </row>
    <row r="74" spans="3:18" x14ac:dyDescent="0.25">
      <c r="I74" s="364"/>
      <c r="P74" s="393"/>
      <c r="Q74" s="393"/>
      <c r="R74" s="427"/>
    </row>
    <row r="75" spans="3:18" x14ac:dyDescent="0.25">
      <c r="I75" s="364"/>
      <c r="P75" s="393"/>
      <c r="Q75" s="393"/>
      <c r="R75" s="446"/>
    </row>
    <row r="76" spans="3:18" x14ac:dyDescent="0.25">
      <c r="H76" s="446"/>
      <c r="I76" s="446"/>
      <c r="P76" s="594"/>
      <c r="Q76" s="594"/>
    </row>
    <row r="77" spans="3:18" x14ac:dyDescent="0.25">
      <c r="D77" s="364" t="s">
        <v>1</v>
      </c>
    </row>
    <row r="78" spans="3:18" ht="31.5" x14ac:dyDescent="0.25">
      <c r="C78" s="447"/>
      <c r="D78" s="168"/>
      <c r="E78" s="168"/>
      <c r="F78" s="168"/>
      <c r="G78" s="168"/>
      <c r="H78" s="168"/>
    </row>
    <row r="79" spans="3:18" ht="31.5" x14ac:dyDescent="0.25">
      <c r="C79" s="447"/>
      <c r="D79" s="168"/>
      <c r="E79" s="168"/>
      <c r="F79" s="168"/>
      <c r="G79" s="168"/>
      <c r="H79" s="168"/>
    </row>
    <row r="80" spans="3:18" ht="31.5" x14ac:dyDescent="0.25">
      <c r="C80" s="447"/>
      <c r="D80" s="168"/>
      <c r="E80" s="168"/>
      <c r="F80" s="168"/>
      <c r="G80" s="168"/>
      <c r="H80" s="168"/>
    </row>
    <row r="81" spans="3:15" x14ac:dyDescent="0.25">
      <c r="C81" s="168"/>
      <c r="D81" s="168"/>
      <c r="E81" s="168"/>
      <c r="F81" s="168"/>
      <c r="G81" s="168"/>
      <c r="H81" s="168"/>
    </row>
    <row r="82" spans="3:15" ht="21" x14ac:dyDescent="0.25">
      <c r="C82" s="381"/>
      <c r="D82" s="381" t="s">
        <v>243</v>
      </c>
    </row>
    <row r="83" spans="3:15" ht="21" x14ac:dyDescent="0.25">
      <c r="C83" s="383"/>
      <c r="D83" s="384" t="s">
        <v>222</v>
      </c>
      <c r="E83" s="384" t="s">
        <v>244</v>
      </c>
      <c r="F83" s="384" t="s">
        <v>245</v>
      </c>
      <c r="G83" s="384" t="s">
        <v>241</v>
      </c>
      <c r="H83" s="384" t="s">
        <v>242</v>
      </c>
      <c r="J83" s="376" t="s">
        <v>222</v>
      </c>
      <c r="K83" s="425" t="s">
        <v>455</v>
      </c>
      <c r="L83" s="425" t="s">
        <v>479</v>
      </c>
      <c r="N83" s="582"/>
      <c r="O83" s="582"/>
    </row>
    <row r="84" spans="3:15" ht="21" x14ac:dyDescent="0.25">
      <c r="C84" s="387" t="s">
        <v>247</v>
      </c>
      <c r="D84" s="388">
        <f>D13</f>
        <v>95.427138089740623</v>
      </c>
      <c r="E84" s="389">
        <f>D13</f>
        <v>95.427138089740623</v>
      </c>
      <c r="F84" s="390">
        <f>D13</f>
        <v>95.427138089740623</v>
      </c>
      <c r="G84" s="389">
        <f>D13</f>
        <v>95.427138089740623</v>
      </c>
      <c r="H84" s="389">
        <f>D13</f>
        <v>95.427138089740623</v>
      </c>
      <c r="J84" s="425">
        <v>5</v>
      </c>
      <c r="K84" s="425" t="s">
        <v>456</v>
      </c>
      <c r="L84" s="425">
        <v>1</v>
      </c>
      <c r="N84" s="589"/>
      <c r="O84" s="589"/>
    </row>
    <row r="85" spans="3:15" ht="21" x14ac:dyDescent="0.25">
      <c r="C85" s="394" t="s">
        <v>226</v>
      </c>
      <c r="D85" s="395">
        <f>D14</f>
        <v>2.9</v>
      </c>
      <c r="E85" s="396">
        <f>D14</f>
        <v>2.9</v>
      </c>
      <c r="F85" s="396">
        <f>D14</f>
        <v>2.9</v>
      </c>
      <c r="G85" s="396">
        <f>D14</f>
        <v>2.9</v>
      </c>
      <c r="H85" s="396">
        <f>D14</f>
        <v>2.9</v>
      </c>
      <c r="J85" s="425">
        <f>J84/5.5</f>
        <v>0.90909090909090906</v>
      </c>
      <c r="K85" s="425" t="s">
        <v>457</v>
      </c>
      <c r="L85" s="425">
        <v>4.5</v>
      </c>
      <c r="N85" s="393"/>
      <c r="O85" s="393"/>
    </row>
    <row r="86" spans="3:15" ht="21" x14ac:dyDescent="0.25">
      <c r="C86" s="394" t="s">
        <v>252</v>
      </c>
      <c r="D86" s="399">
        <f>D17</f>
        <v>22</v>
      </c>
      <c r="E86" s="400">
        <f>E17</f>
        <v>22</v>
      </c>
      <c r="F86" s="400">
        <f>F17</f>
        <v>22</v>
      </c>
      <c r="G86" s="400">
        <f>G17</f>
        <v>11</v>
      </c>
      <c r="H86" s="400">
        <f>H17</f>
        <v>15</v>
      </c>
      <c r="J86" s="425">
        <f>J84-J85</f>
        <v>4.0909090909090908</v>
      </c>
      <c r="K86" s="425" t="s">
        <v>458</v>
      </c>
      <c r="L86" s="425">
        <v>8500</v>
      </c>
      <c r="N86" s="393"/>
      <c r="O86" s="393"/>
    </row>
    <row r="87" spans="3:15" ht="21" x14ac:dyDescent="0.25">
      <c r="C87" s="394" t="s">
        <v>256</v>
      </c>
      <c r="D87" s="403">
        <f>D85/1*D16</f>
        <v>1.3919999999999999</v>
      </c>
      <c r="E87" s="404">
        <f>E85/1*E16</f>
        <v>1.45</v>
      </c>
      <c r="F87" s="404">
        <f>F85/1*F16</f>
        <v>0.63800000000000001</v>
      </c>
      <c r="G87" s="404">
        <f>G85/1*G16</f>
        <v>1.595</v>
      </c>
      <c r="H87" s="404">
        <f>H85/1*H16</f>
        <v>1.3403361344537816</v>
      </c>
      <c r="J87" s="431">
        <v>8500</v>
      </c>
      <c r="K87" s="425" t="s">
        <v>459</v>
      </c>
      <c r="L87" s="425">
        <v>25000</v>
      </c>
      <c r="N87" s="393"/>
      <c r="O87" s="393"/>
    </row>
    <row r="88" spans="3:15" ht="21" x14ac:dyDescent="0.25">
      <c r="C88" s="394" t="s">
        <v>259</v>
      </c>
      <c r="D88" s="406">
        <f>D85-D87</f>
        <v>1.508</v>
      </c>
      <c r="E88" s="407">
        <f>E85-E87</f>
        <v>1.45</v>
      </c>
      <c r="F88" s="407">
        <f>F85-F87</f>
        <v>2.262</v>
      </c>
      <c r="G88" s="407">
        <f>G85-G87</f>
        <v>1.3049999999999999</v>
      </c>
      <c r="H88" s="407">
        <f>H85-H87</f>
        <v>1.5596638655462183</v>
      </c>
      <c r="J88" s="429">
        <v>57000</v>
      </c>
      <c r="K88" s="425" t="s">
        <v>460</v>
      </c>
      <c r="L88" s="425">
        <v>8000</v>
      </c>
    </row>
    <row r="89" spans="3:15" ht="21" x14ac:dyDescent="0.25">
      <c r="C89" s="394" t="s">
        <v>261</v>
      </c>
      <c r="D89" s="409">
        <f>D98</f>
        <v>18.949205582860358</v>
      </c>
      <c r="E89" s="390">
        <f>E98</f>
        <v>19.752454445616522</v>
      </c>
      <c r="F89" s="390">
        <f>F98</f>
        <v>8.5069703670301742</v>
      </c>
      <c r="G89" s="390">
        <f>G98</f>
        <v>10.715904739609634</v>
      </c>
      <c r="H89" s="390">
        <f>H98</f>
        <v>12.32746495795447</v>
      </c>
      <c r="J89" s="429">
        <v>600</v>
      </c>
      <c r="K89" s="425" t="s">
        <v>481</v>
      </c>
      <c r="L89" s="425">
        <f>L90*L91</f>
        <v>354.05</v>
      </c>
    </row>
    <row r="90" spans="3:15" ht="21" x14ac:dyDescent="0.25">
      <c r="C90" s="394" t="s">
        <v>264</v>
      </c>
      <c r="D90" s="488">
        <v>240780</v>
      </c>
      <c r="E90" s="488">
        <v>240780</v>
      </c>
      <c r="F90" s="488">
        <v>240780</v>
      </c>
      <c r="G90" s="488">
        <v>240780</v>
      </c>
      <c r="H90" s="488">
        <v>240780</v>
      </c>
      <c r="J90" s="425">
        <v>1</v>
      </c>
      <c r="K90" s="425" t="s">
        <v>484</v>
      </c>
      <c r="L90" s="425">
        <f>O90</f>
        <v>0.97</v>
      </c>
      <c r="N90" s="364" t="s">
        <v>480</v>
      </c>
      <c r="O90" s="364">
        <v>0.97</v>
      </c>
    </row>
    <row r="91" spans="3:15" ht="21" x14ac:dyDescent="0.25">
      <c r="C91" s="394" t="s">
        <v>265</v>
      </c>
      <c r="D91" s="409">
        <f>D84/100*(D86*D87)</f>
        <v>29.223606768602167</v>
      </c>
      <c r="E91" s="390">
        <f>E84/100*(E86*E87)</f>
        <v>30.441257050627257</v>
      </c>
      <c r="F91" s="390">
        <f>F84/100*(F86*F87)</f>
        <v>13.394153102275993</v>
      </c>
      <c r="G91" s="390">
        <f>G84/100*(G86*G87)</f>
        <v>16.742691377844992</v>
      </c>
      <c r="H91" s="390">
        <f>H84/100*(H86*H87)</f>
        <v>19.185666208378528</v>
      </c>
      <c r="J91" s="429">
        <v>1825</v>
      </c>
      <c r="K91" s="425" t="s">
        <v>483</v>
      </c>
      <c r="L91" s="425">
        <v>365</v>
      </c>
      <c r="N91" s="588"/>
      <c r="O91" s="588"/>
    </row>
    <row r="92" spans="3:15" ht="21" x14ac:dyDescent="0.25">
      <c r="C92" s="394" t="s">
        <v>67</v>
      </c>
      <c r="D92" s="403">
        <f>100/D91</f>
        <v>3.4218911030324963</v>
      </c>
      <c r="E92" s="411">
        <f>100/E91</f>
        <v>3.2850154589111966</v>
      </c>
      <c r="F92" s="411">
        <f>100/F91</f>
        <v>7.4659442247981742</v>
      </c>
      <c r="G92" s="411">
        <f>100/G91</f>
        <v>5.9727553798385395</v>
      </c>
      <c r="H92" s="411">
        <f>100/H91</f>
        <v>5.2122245281390978</v>
      </c>
      <c r="J92" s="431">
        <f>(J91*J90)+J89</f>
        <v>2425</v>
      </c>
      <c r="K92" s="425" t="s">
        <v>482</v>
      </c>
      <c r="L92" s="425">
        <f>L89+L93</f>
        <v>474.05</v>
      </c>
    </row>
    <row r="93" spans="3:15" ht="21" x14ac:dyDescent="0.25">
      <c r="C93" s="394" t="s">
        <v>266</v>
      </c>
      <c r="D93" s="410">
        <v>1200</v>
      </c>
      <c r="E93" s="412">
        <v>1200</v>
      </c>
      <c r="F93" s="412">
        <v>1200</v>
      </c>
      <c r="G93" s="412">
        <v>1200</v>
      </c>
      <c r="H93" s="412">
        <v>1200</v>
      </c>
      <c r="J93" s="434">
        <f>1000*J92</f>
        <v>2425000</v>
      </c>
      <c r="K93" s="425" t="s">
        <v>488</v>
      </c>
      <c r="L93" s="425">
        <v>120</v>
      </c>
      <c r="N93" s="590"/>
      <c r="O93" s="590"/>
    </row>
    <row r="94" spans="3:15" ht="21" x14ac:dyDescent="0.25">
      <c r="C94" s="394">
        <v>0.38</v>
      </c>
      <c r="D94" s="413">
        <f>D92*(D93+(3650*D89))</f>
        <v>240780.00000000003</v>
      </c>
      <c r="E94" s="414">
        <f>E92*(E93+(3650*E89))</f>
        <v>240780</v>
      </c>
      <c r="F94" s="414">
        <f>F92*(F93+(3650*F89))</f>
        <v>240780</v>
      </c>
      <c r="G94" s="414">
        <f>G92*(G93+(3650*G89))</f>
        <v>240780</v>
      </c>
      <c r="H94" s="414">
        <f>H92*(H93+(3650*H89))</f>
        <v>240780</v>
      </c>
      <c r="J94" s="437">
        <v>2.1</v>
      </c>
      <c r="K94" s="425" t="s">
        <v>461</v>
      </c>
      <c r="L94" s="425">
        <v>10</v>
      </c>
      <c r="N94" s="591"/>
      <c r="O94" s="591"/>
    </row>
    <row r="95" spans="3:15" ht="21" x14ac:dyDescent="0.25">
      <c r="C95" s="394" t="s">
        <v>270</v>
      </c>
      <c r="D95" s="410">
        <f>D89*365</f>
        <v>6916.4600377440311</v>
      </c>
      <c r="E95" s="412">
        <f>E89*365</f>
        <v>7209.6458726500305</v>
      </c>
      <c r="F95" s="412">
        <f>F89*365</f>
        <v>3105.0441839660134</v>
      </c>
      <c r="G95" s="412">
        <f>G89*365</f>
        <v>3911.3052299575165</v>
      </c>
      <c r="H95" s="412">
        <f>H89*365</f>
        <v>4499.5247096533813</v>
      </c>
      <c r="J95" s="437">
        <f>J94*0.48</f>
        <v>1.008</v>
      </c>
      <c r="K95" s="425" t="s">
        <v>462</v>
      </c>
      <c r="L95" s="425">
        <f>(L112*(L94/2)*1)+(L113*(L94/2)*0.2)</f>
        <v>38.03799999999999</v>
      </c>
      <c r="N95" s="592"/>
      <c r="O95" s="592"/>
    </row>
    <row r="96" spans="3:15" ht="21" x14ac:dyDescent="0.25">
      <c r="C96" s="394" t="s">
        <v>271</v>
      </c>
      <c r="D96" s="415">
        <f>D89/D94*D90</f>
        <v>18.949205582860358</v>
      </c>
      <c r="E96" s="416">
        <f>E89/E94*E90</f>
        <v>19.752454445616522</v>
      </c>
      <c r="F96" s="416">
        <f>F89/F94*F90</f>
        <v>8.5069703670301742</v>
      </c>
      <c r="G96" s="416">
        <f>G89/G94*G90</f>
        <v>10.715904739609634</v>
      </c>
      <c r="H96" s="416">
        <f>H89/H94*H90</f>
        <v>12.32746495795447</v>
      </c>
      <c r="J96" s="425">
        <v>0.22</v>
      </c>
      <c r="K96" s="425" t="s">
        <v>463</v>
      </c>
      <c r="L96" s="425">
        <f>L112*L86+L113*(((((L94/2)-1))*L88)+L87)</f>
        <v>1061059.9999999995</v>
      </c>
      <c r="N96" s="592"/>
      <c r="O96" s="592"/>
    </row>
    <row r="97" spans="3:15" ht="21" x14ac:dyDescent="0.25">
      <c r="C97" s="394" t="s">
        <v>1</v>
      </c>
      <c r="D97" s="418">
        <f>D90/D92-D93</f>
        <v>69164.600377440307</v>
      </c>
      <c r="E97" s="419">
        <f>E90/E92-E93</f>
        <v>72096.458726500307</v>
      </c>
      <c r="F97" s="419">
        <f>F90/F92-F93</f>
        <v>31050.441839660136</v>
      </c>
      <c r="G97" s="419">
        <f>G90/G92-G93</f>
        <v>39113.052299575167</v>
      </c>
      <c r="H97" s="419">
        <f>H90/H92-H93</f>
        <v>44995.247096533814</v>
      </c>
      <c r="J97" s="429">
        <f>J96*J95</f>
        <v>0.22176000000000001</v>
      </c>
      <c r="K97" s="425" t="s">
        <v>464</v>
      </c>
      <c r="L97" s="425">
        <f>L96/1000</f>
        <v>1061.0599999999995</v>
      </c>
      <c r="N97" s="393"/>
      <c r="O97" s="393"/>
    </row>
    <row r="98" spans="3:15" ht="21" x14ac:dyDescent="0.25">
      <c r="C98" s="421" t="s">
        <v>273</v>
      </c>
      <c r="D98" s="415">
        <f>D97/3650</f>
        <v>18.949205582860358</v>
      </c>
      <c r="E98" s="416">
        <f>E97/3650</f>
        <v>19.752454445616522</v>
      </c>
      <c r="F98" s="416">
        <f>F97/3650</f>
        <v>8.5069703670301742</v>
      </c>
      <c r="G98" s="416">
        <f>G97/3650</f>
        <v>10.715904739609634</v>
      </c>
      <c r="H98" s="416">
        <f>H97/3650</f>
        <v>12.32746495795447</v>
      </c>
      <c r="J98" s="429">
        <f>J84*J97</f>
        <v>1.1088</v>
      </c>
      <c r="K98" s="425" t="s">
        <v>465</v>
      </c>
      <c r="L98" s="425">
        <f>L92*L94</f>
        <v>4740.5</v>
      </c>
      <c r="N98" s="593"/>
      <c r="O98" s="593"/>
    </row>
    <row r="99" spans="3:15" ht="21" x14ac:dyDescent="0.25">
      <c r="J99" s="425">
        <f>100/J98</f>
        <v>90.187590187590189</v>
      </c>
      <c r="K99" s="425" t="s">
        <v>466</v>
      </c>
      <c r="L99" s="425">
        <f>L98-L97</f>
        <v>3679.4400000000005</v>
      </c>
    </row>
    <row r="100" spans="3:15" ht="21" x14ac:dyDescent="0.25">
      <c r="J100" s="425">
        <f>J85*10</f>
        <v>9.0909090909090899</v>
      </c>
      <c r="K100" s="425" t="s">
        <v>467</v>
      </c>
      <c r="L100" s="567">
        <f>L99/(L95/1000)</f>
        <v>96730.637783269398</v>
      </c>
      <c r="N100" s="393"/>
      <c r="O100" s="393"/>
    </row>
    <row r="101" spans="3:15" ht="21" x14ac:dyDescent="0.25">
      <c r="J101" s="425">
        <f>J86*10</f>
        <v>40.909090909090907</v>
      </c>
      <c r="K101" s="425" t="s">
        <v>490</v>
      </c>
      <c r="L101" s="425">
        <f>O101</f>
        <v>8.19</v>
      </c>
      <c r="N101" s="393" t="s">
        <v>491</v>
      </c>
      <c r="O101" s="393">
        <v>8.19</v>
      </c>
    </row>
    <row r="102" spans="3:15" ht="21" x14ac:dyDescent="0.25">
      <c r="J102" s="429">
        <f>J100+J101</f>
        <v>50</v>
      </c>
      <c r="K102" s="425" t="s">
        <v>468</v>
      </c>
      <c r="L102" s="425">
        <f>L101/4.5</f>
        <v>1.8199999999999998</v>
      </c>
      <c r="N102" s="393"/>
      <c r="O102" s="393"/>
    </row>
    <row r="103" spans="3:15" ht="21" x14ac:dyDescent="0.25">
      <c r="J103" s="425">
        <f>J100*J97</f>
        <v>2.016</v>
      </c>
      <c r="K103" s="425" t="s">
        <v>469</v>
      </c>
      <c r="L103" s="425">
        <v>1000</v>
      </c>
    </row>
    <row r="104" spans="3:15" ht="21" x14ac:dyDescent="0.25">
      <c r="J104" s="425">
        <f>J101*J97</f>
        <v>9.0719999999999992</v>
      </c>
      <c r="K104" s="425" t="s">
        <v>470</v>
      </c>
      <c r="L104" s="425">
        <f>L102/100*L103</f>
        <v>18.199999999999996</v>
      </c>
      <c r="N104" s="393"/>
      <c r="O104" s="393"/>
    </row>
    <row r="105" spans="3:15" ht="21" x14ac:dyDescent="0.25">
      <c r="J105" s="425">
        <f>J103+J104</f>
        <v>11.087999999999999</v>
      </c>
      <c r="K105" s="425" t="s">
        <v>471</v>
      </c>
      <c r="L105" s="425">
        <f>(L104/2)*9</f>
        <v>81.899999999999977</v>
      </c>
      <c r="N105" s="393"/>
      <c r="O105" s="393"/>
    </row>
    <row r="106" spans="3:15" ht="21" x14ac:dyDescent="0.25">
      <c r="J106" s="425">
        <f>(J103*10)/2</f>
        <v>10.08</v>
      </c>
      <c r="K106" s="425" t="s">
        <v>472</v>
      </c>
      <c r="L106" s="425">
        <f>L104+L105</f>
        <v>100.09999999999997</v>
      </c>
      <c r="N106" s="393"/>
      <c r="O106" s="393"/>
    </row>
    <row r="107" spans="3:15" ht="21" x14ac:dyDescent="0.25">
      <c r="J107" s="425">
        <f>((J104*10)/2)*($G$6/100)</f>
        <v>9.072000000000001</v>
      </c>
      <c r="K107" s="425" t="s">
        <v>226</v>
      </c>
      <c r="L107" s="425">
        <f>O107</f>
        <v>2.5</v>
      </c>
      <c r="N107" s="393" t="s">
        <v>60</v>
      </c>
      <c r="O107" s="393">
        <v>2.5</v>
      </c>
    </row>
    <row r="108" spans="3:15" ht="21" x14ac:dyDescent="0.25">
      <c r="J108" s="425">
        <f>J106+J107</f>
        <v>19.152000000000001</v>
      </c>
      <c r="K108" s="425" t="s">
        <v>486</v>
      </c>
      <c r="L108" s="425">
        <v>40</v>
      </c>
      <c r="N108" s="393"/>
      <c r="O108" s="393"/>
    </row>
    <row r="109" spans="3:15" ht="21" x14ac:dyDescent="0.25">
      <c r="J109" s="434">
        <f>J103*J87</f>
        <v>17136</v>
      </c>
      <c r="K109" s="425" t="s">
        <v>487</v>
      </c>
      <c r="L109" s="425">
        <f>L107*(L108/100)</f>
        <v>1</v>
      </c>
      <c r="N109" s="393"/>
      <c r="O109" s="393"/>
    </row>
    <row r="110" spans="3:15" ht="21" x14ac:dyDescent="0.25">
      <c r="J110" s="434">
        <f>J104*J88</f>
        <v>517103.99999999994</v>
      </c>
      <c r="K110" s="425" t="s">
        <v>485</v>
      </c>
      <c r="L110" s="425">
        <v>22</v>
      </c>
      <c r="N110" s="591"/>
      <c r="O110" s="591"/>
    </row>
    <row r="111" spans="3:15" ht="21" x14ac:dyDescent="0.25">
      <c r="J111" s="434">
        <f>J109+J110</f>
        <v>534240</v>
      </c>
      <c r="K111" s="425" t="s">
        <v>252</v>
      </c>
      <c r="L111" s="425">
        <f>L110*L109</f>
        <v>22</v>
      </c>
      <c r="N111" s="591"/>
      <c r="O111" s="591"/>
    </row>
    <row r="112" spans="3:15" ht="21" x14ac:dyDescent="0.25">
      <c r="J112" s="425">
        <f>J111/1000</f>
        <v>534.24</v>
      </c>
      <c r="K112" s="425" t="s">
        <v>473</v>
      </c>
      <c r="L112" s="425">
        <f>L104*(L111/100)</f>
        <v>4.0039999999999987</v>
      </c>
      <c r="N112" s="591"/>
      <c r="O112" s="591"/>
    </row>
    <row r="113" spans="4:15" ht="21" x14ac:dyDescent="0.25">
      <c r="J113" s="425">
        <f>J92-J112</f>
        <v>1890.76</v>
      </c>
      <c r="K113" s="425" t="s">
        <v>474</v>
      </c>
      <c r="L113" s="425">
        <f>L105*(L111/100)</f>
        <v>18.017999999999994</v>
      </c>
      <c r="N113" s="393"/>
      <c r="O113" s="393"/>
    </row>
    <row r="114" spans="4:15" ht="23.25" x14ac:dyDescent="0.25">
      <c r="D114" s="448" t="s">
        <v>189</v>
      </c>
      <c r="J114" s="444">
        <f>J113/J108*1000</f>
        <v>98723.893065998331</v>
      </c>
      <c r="K114" s="425" t="s">
        <v>475</v>
      </c>
      <c r="L114" s="425">
        <f>L112+L113</f>
        <v>22.021999999999991</v>
      </c>
      <c r="N114" s="393"/>
      <c r="O114" s="393"/>
    </row>
    <row r="115" spans="4:15" ht="21" x14ac:dyDescent="0.25">
      <c r="J115" s="446"/>
      <c r="K115" s="425" t="s">
        <v>476</v>
      </c>
      <c r="L115" s="425">
        <f>(L104+L105)/L103*100</f>
        <v>10.009999999999996</v>
      </c>
      <c r="M115" s="594"/>
      <c r="N115" s="594"/>
      <c r="O115" s="594"/>
    </row>
    <row r="116" spans="4:15" ht="21" x14ac:dyDescent="0.25">
      <c r="D116" s="449">
        <v>1</v>
      </c>
      <c r="E116" s="450" t="s">
        <v>303</v>
      </c>
      <c r="K116" s="425" t="s">
        <v>477</v>
      </c>
      <c r="L116" s="425">
        <f>(L112+L113)/L103*100</f>
        <v>2.2021999999999995</v>
      </c>
    </row>
    <row r="117" spans="4:15" ht="21" x14ac:dyDescent="0.25">
      <c r="D117" s="449">
        <v>2</v>
      </c>
      <c r="E117" s="450" t="s">
        <v>304</v>
      </c>
      <c r="K117" s="425" t="s">
        <v>478</v>
      </c>
      <c r="L117" s="425">
        <f>100/L116</f>
        <v>45.40913631822724</v>
      </c>
    </row>
    <row r="118" spans="4:15" ht="15.75" x14ac:dyDescent="0.25">
      <c r="D118" s="449">
        <v>3</v>
      </c>
      <c r="E118" s="450" t="s">
        <v>305</v>
      </c>
      <c r="N118" s="364">
        <f>1.82*4.5</f>
        <v>8.19</v>
      </c>
    </row>
    <row r="119" spans="4:15" ht="15.75" x14ac:dyDescent="0.25">
      <c r="D119" s="449">
        <v>4</v>
      </c>
      <c r="E119" s="450" t="s">
        <v>306</v>
      </c>
    </row>
    <row r="120" spans="4:15" ht="15.75" x14ac:dyDescent="0.25">
      <c r="D120" s="449">
        <v>5</v>
      </c>
      <c r="E120" s="450" t="s">
        <v>307</v>
      </c>
    </row>
    <row r="121" spans="4:15" ht="15.75" x14ac:dyDescent="0.25">
      <c r="D121" s="449">
        <v>6</v>
      </c>
      <c r="E121" s="450" t="s">
        <v>308</v>
      </c>
    </row>
    <row r="122" spans="4:15" ht="15.75" x14ac:dyDescent="0.25">
      <c r="D122" s="451"/>
      <c r="E122" s="168"/>
    </row>
    <row r="123" spans="4:15" ht="15.75" x14ac:dyDescent="0.25">
      <c r="D123" s="451"/>
      <c r="E123" s="168"/>
    </row>
    <row r="140" spans="5:10" x14ac:dyDescent="0.25">
      <c r="E140" s="364" t="s">
        <v>496</v>
      </c>
      <c r="F140" s="364" t="s">
        <v>238</v>
      </c>
      <c r="G140" s="364" t="s">
        <v>239</v>
      </c>
      <c r="H140" s="364" t="s">
        <v>240</v>
      </c>
      <c r="I140" s="226" t="s">
        <v>241</v>
      </c>
      <c r="J140" s="226" t="s">
        <v>242</v>
      </c>
    </row>
    <row r="141" spans="5:10" x14ac:dyDescent="0.25">
      <c r="E141" s="364" t="s">
        <v>352</v>
      </c>
      <c r="F141" s="364">
        <v>0.48</v>
      </c>
      <c r="G141" s="364">
        <v>0.5</v>
      </c>
      <c r="H141" s="364">
        <v>0.22</v>
      </c>
      <c r="I141" s="226">
        <v>0.55000000000000004</v>
      </c>
      <c r="J141" s="226">
        <v>0.46218487394957991</v>
      </c>
    </row>
    <row r="142" spans="5:10" x14ac:dyDescent="0.25">
      <c r="E142" s="364" t="s">
        <v>353</v>
      </c>
      <c r="F142" s="364">
        <v>22</v>
      </c>
      <c r="G142" s="364">
        <v>22</v>
      </c>
      <c r="H142" s="364">
        <v>22</v>
      </c>
      <c r="I142" s="226">
        <v>11</v>
      </c>
      <c r="J142" s="226">
        <v>15</v>
      </c>
    </row>
    <row r="143" spans="5:10" x14ac:dyDescent="0.25">
      <c r="E143" s="364" t="s">
        <v>354</v>
      </c>
      <c r="F143" s="364">
        <v>0.37</v>
      </c>
      <c r="G143" s="364">
        <v>0.68</v>
      </c>
      <c r="H143" s="364">
        <v>1.23333</v>
      </c>
      <c r="I143" s="226">
        <v>13</v>
      </c>
      <c r="J143" s="226">
        <v>13</v>
      </c>
    </row>
    <row r="146" spans="5:8" x14ac:dyDescent="0.25">
      <c r="E146" s="377" t="s">
        <v>496</v>
      </c>
      <c r="F146" s="377" t="s">
        <v>352</v>
      </c>
      <c r="G146" s="377" t="s">
        <v>353</v>
      </c>
      <c r="H146" s="377" t="s">
        <v>354</v>
      </c>
    </row>
    <row r="147" spans="5:8" x14ac:dyDescent="0.25">
      <c r="E147" s="377" t="s">
        <v>238</v>
      </c>
      <c r="F147" s="377">
        <v>0.48</v>
      </c>
      <c r="G147" s="377">
        <v>22</v>
      </c>
      <c r="H147" s="377">
        <v>0.37</v>
      </c>
    </row>
    <row r="148" spans="5:8" x14ac:dyDescent="0.25">
      <c r="E148" s="377" t="s">
        <v>239</v>
      </c>
      <c r="F148" s="377">
        <v>0.5</v>
      </c>
      <c r="G148" s="377">
        <v>22</v>
      </c>
      <c r="H148" s="377">
        <v>0.68</v>
      </c>
    </row>
    <row r="149" spans="5:8" x14ac:dyDescent="0.25">
      <c r="E149" s="377" t="s">
        <v>240</v>
      </c>
      <c r="F149" s="377">
        <v>0.22</v>
      </c>
      <c r="G149" s="377">
        <v>22</v>
      </c>
      <c r="H149" s="377">
        <v>1.23333</v>
      </c>
    </row>
    <row r="150" spans="5:8" x14ac:dyDescent="0.25">
      <c r="E150" s="226" t="s">
        <v>241</v>
      </c>
      <c r="F150" s="226">
        <v>0.55000000000000004</v>
      </c>
      <c r="G150" s="226">
        <v>11</v>
      </c>
      <c r="H150" s="226">
        <v>13</v>
      </c>
    </row>
    <row r="151" spans="5:8" x14ac:dyDescent="0.25">
      <c r="E151" s="226" t="s">
        <v>242</v>
      </c>
      <c r="F151" s="226">
        <v>0.46218487394957991</v>
      </c>
      <c r="G151" s="226">
        <v>15</v>
      </c>
      <c r="H151" s="226">
        <v>13</v>
      </c>
    </row>
  </sheetData>
  <pageMargins left="0.7" right="0.7" top="0.78740157499999996" bottom="0.78740157499999996"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7" id="{89BD47EE-D2BE-4890-AE1E-1E30330C9957}">
            <x14:iconSet iconSet="3Symbols" custom="1">
              <x14:cfvo type="percent">
                <xm:f>0</xm:f>
              </x14:cfvo>
              <x14:cfvo type="num" gte="0">
                <xm:f>100000</xm:f>
              </x14:cfvo>
              <x14:cfvo type="num">
                <xm:f>150000</xm:f>
              </x14:cfvo>
              <x14:cfIcon iconSet="3Symbols" iconId="2"/>
              <x14:cfIcon iconSet="3Symbols" iconId="1"/>
              <x14:cfIcon iconSet="3Symbols" iconId="0"/>
            </x14:iconSet>
          </x14:cfRule>
          <xm:sqref>D20:H20</xm:sqref>
        </x14:conditionalFormatting>
        <x14:conditionalFormatting xmlns:xm="http://schemas.microsoft.com/office/excel/2006/main">
          <x14:cfRule type="iconSet" priority="6" id="{397F8311-6E6F-4544-8BAF-78484E81C5D0}">
            <x14:iconSet iconSet="3Symbols" custom="1">
              <x14:cfvo type="percent">
                <xm:f>0</xm:f>
              </x14:cfvo>
              <x14:cfvo type="num" gte="0">
                <xm:f>100000</xm:f>
              </x14:cfvo>
              <x14:cfvo type="num">
                <xm:f>150000</xm:f>
              </x14:cfvo>
              <x14:cfIcon iconSet="3Symbols" iconId="2"/>
              <x14:cfIcon iconSet="3Symbols" iconId="1"/>
              <x14:cfIcon iconSet="3Symbols" iconId="0"/>
            </x14:iconSet>
          </x14:cfRule>
          <xm:sqref>I20</xm:sqref>
        </x14:conditionalFormatting>
        <x14:conditionalFormatting xmlns:xm="http://schemas.microsoft.com/office/excel/2006/main">
          <x14:cfRule type="iconSet" priority="5" id="{427BF2FB-3220-4F0D-A956-AE16F0ACDF69}">
            <x14:iconSet iconSet="3Symbols" custom="1">
              <x14:cfvo type="percent">
                <xm:f>0</xm:f>
              </x14:cfvo>
              <x14:cfvo type="num" gte="0">
                <xm:f>100000</xm:f>
              </x14:cfvo>
              <x14:cfvo type="num">
                <xm:f>150000</xm:f>
              </x14:cfvo>
              <x14:cfIcon iconSet="3Symbols" iconId="2"/>
              <x14:cfIcon iconSet="3Symbols" iconId="1"/>
              <x14:cfIcon iconSet="3Symbols" iconId="0"/>
            </x14:iconSet>
          </x14:cfRule>
          <xm:sqref>K24:O24 L20:P23</xm:sqref>
        </x14:conditionalFormatting>
        <x14:conditionalFormatting xmlns:xm="http://schemas.microsoft.com/office/excel/2006/main">
          <x14:cfRule type="iconSet" priority="4" id="{73A8969E-0EAA-4B94-8C57-D849B183BFDC}">
            <x14:iconSet iconSet="3Symbols" custom="1">
              <x14:cfvo type="percent">
                <xm:f>0</xm:f>
              </x14:cfvo>
              <x14:cfvo type="num" gte="0">
                <xm:f>100000</xm:f>
              </x14:cfvo>
              <x14:cfvo type="num">
                <xm:f>150000</xm:f>
              </x14:cfvo>
              <x14:cfIcon iconSet="3Symbols" iconId="2"/>
              <x14:cfIcon iconSet="3Symbols" iconId="1"/>
              <x14:cfIcon iconSet="3Symbols" iconId="0"/>
            </x14:iconSet>
          </x14:cfRule>
          <xm:sqref>L16:P16</xm:sqref>
        </x14:conditionalFormatting>
        <x14:conditionalFormatting xmlns:xm="http://schemas.microsoft.com/office/excel/2006/main">
          <x14:cfRule type="iconSet" priority="3" id="{AFB9B0E9-1E0B-45DA-B717-7638BB541253}">
            <x14:iconSet iconSet="3Symbols" custom="1">
              <x14:cfvo type="percent">
                <xm:f>0</xm:f>
              </x14:cfvo>
              <x14:cfvo type="num" gte="0">
                <xm:f>100000</xm:f>
              </x14:cfvo>
              <x14:cfvo type="num">
                <xm:f>150000</xm:f>
              </x14:cfvo>
              <x14:cfIcon iconSet="3Symbols" iconId="2"/>
              <x14:cfIcon iconSet="3Symbols" iconId="1"/>
              <x14:cfIcon iconSet="3Symbols" iconId="0"/>
            </x14:iconSet>
          </x14:cfRule>
          <xm:sqref>L17:P17</xm:sqref>
        </x14:conditionalFormatting>
        <x14:conditionalFormatting xmlns:xm="http://schemas.microsoft.com/office/excel/2006/main">
          <x14:cfRule type="iconSet" priority="2" id="{39323A22-7635-4EE8-A95E-ADBEE215B313}">
            <x14:iconSet iconSet="3Symbols" custom="1">
              <x14:cfvo type="percent">
                <xm:f>0</xm:f>
              </x14:cfvo>
              <x14:cfvo type="num" gte="0">
                <xm:f>100000</xm:f>
              </x14:cfvo>
              <x14:cfvo type="num">
                <xm:f>150000</xm:f>
              </x14:cfvo>
              <x14:cfIcon iconSet="3Symbols" iconId="2"/>
              <x14:cfIcon iconSet="3Symbols" iconId="1"/>
              <x14:cfIcon iconSet="3Symbols" iconId="0"/>
            </x14:iconSet>
          </x14:cfRule>
          <xm:sqref>L18:P18</xm:sqref>
        </x14:conditionalFormatting>
        <x14:conditionalFormatting xmlns:xm="http://schemas.microsoft.com/office/excel/2006/main">
          <x14:cfRule type="iconSet" priority="1" id="{1636DC22-CE55-4553-92CA-9394B4A30DC8}">
            <x14:iconSet iconSet="3Symbols" custom="1">
              <x14:cfvo type="percent">
                <xm:f>0</xm:f>
              </x14:cfvo>
              <x14:cfvo type="num" gte="0">
                <xm:f>100000</xm:f>
              </x14:cfvo>
              <x14:cfvo type="num">
                <xm:f>150000</xm:f>
              </x14:cfvo>
              <x14:cfIcon iconSet="3Symbols" iconId="2"/>
              <x14:cfIcon iconSet="3Symbols" iconId="1"/>
              <x14:cfIcon iconSet="3Symbols" iconId="0"/>
            </x14:iconSet>
          </x14:cfRule>
          <xm:sqref>L19:P19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1F1A5-E36B-4ED0-B381-F87CFDBCD8DA}">
  <sheetPr codeName="Tabelle4"/>
  <dimension ref="B2:M108"/>
  <sheetViews>
    <sheetView topLeftCell="E17" zoomScaleNormal="100" workbookViewId="0">
      <selection activeCell="I42" sqref="I42:J43"/>
    </sheetView>
  </sheetViews>
  <sheetFormatPr baseColWidth="10" defaultColWidth="10.7109375" defaultRowHeight="15" x14ac:dyDescent="0.25"/>
  <cols>
    <col min="1" max="2" width="10.7109375" style="496"/>
    <col min="3" max="3" width="7.28515625" style="496" customWidth="1"/>
    <col min="4" max="4" width="48.28515625" style="496" customWidth="1"/>
    <col min="5" max="5" width="43.28515625" style="496" bestFit="1" customWidth="1"/>
    <col min="6" max="7" width="16.5703125" style="496" customWidth="1"/>
    <col min="8" max="8" width="14.7109375" style="496" customWidth="1"/>
    <col min="9" max="10" width="16.5703125" style="496" customWidth="1"/>
    <col min="11" max="11" width="4.7109375" style="496" customWidth="1"/>
    <col min="12" max="12" width="19.5703125" style="496" bestFit="1" customWidth="1"/>
    <col min="13" max="13" width="17.42578125" style="496" customWidth="1"/>
    <col min="14" max="14" width="27.5703125" style="496" customWidth="1"/>
    <col min="15" max="16384" width="10.7109375" style="496"/>
  </cols>
  <sheetData>
    <row r="2" spans="2:13" ht="183.75" customHeight="1" x14ac:dyDescent="0.25">
      <c r="E2" s="826" t="s">
        <v>364</v>
      </c>
      <c r="F2" s="826"/>
      <c r="G2" s="826"/>
      <c r="H2" s="826"/>
      <c r="I2" s="826"/>
      <c r="J2" s="826"/>
    </row>
    <row r="3" spans="2:13" ht="21" x14ac:dyDescent="0.25">
      <c r="F3" s="827" t="s">
        <v>454</v>
      </c>
      <c r="G3" s="828"/>
      <c r="H3" s="828"/>
      <c r="I3" s="828"/>
      <c r="J3" s="829"/>
    </row>
    <row r="4" spans="2:13" ht="21" x14ac:dyDescent="0.25">
      <c r="F4" s="830" t="s">
        <v>365</v>
      </c>
      <c r="G4" s="831"/>
      <c r="H4" s="831"/>
      <c r="I4" s="831"/>
      <c r="J4" s="832"/>
    </row>
    <row r="5" spans="2:13" ht="21" x14ac:dyDescent="0.25">
      <c r="F5" s="833" t="s">
        <v>1</v>
      </c>
      <c r="G5" s="834"/>
      <c r="H5" s="834"/>
      <c r="I5" s="834"/>
      <c r="J5" s="835"/>
    </row>
    <row r="6" spans="2:13" ht="42.4" customHeight="1" x14ac:dyDescent="0.25">
      <c r="E6" s="497"/>
      <c r="F6" s="497"/>
      <c r="G6" s="498"/>
      <c r="H6" s="498"/>
    </row>
    <row r="7" spans="2:13" ht="21" x14ac:dyDescent="0.25">
      <c r="E7" s="499"/>
      <c r="F7" s="821" t="s">
        <v>366</v>
      </c>
      <c r="G7" s="822"/>
      <c r="H7" s="822"/>
      <c r="I7" s="822"/>
      <c r="J7" s="823"/>
    </row>
    <row r="8" spans="2:13" x14ac:dyDescent="0.25">
      <c r="F8" s="824" t="s">
        <v>367</v>
      </c>
      <c r="G8" s="825"/>
      <c r="I8" s="824" t="s">
        <v>367</v>
      </c>
      <c r="J8" s="825"/>
    </row>
    <row r="9" spans="2:13" x14ac:dyDescent="0.25">
      <c r="E9" s="500"/>
      <c r="F9" s="501" t="s">
        <v>368</v>
      </c>
      <c r="G9" s="501" t="s">
        <v>368</v>
      </c>
      <c r="I9" s="501" t="s">
        <v>368</v>
      </c>
      <c r="J9" s="501" t="s">
        <v>368</v>
      </c>
      <c r="L9" s="502" t="s">
        <v>369</v>
      </c>
    </row>
    <row r="10" spans="2:13" x14ac:dyDescent="0.25">
      <c r="C10" s="502" t="s">
        <v>370</v>
      </c>
      <c r="D10" s="502"/>
      <c r="E10" s="503" t="s">
        <v>247</v>
      </c>
      <c r="F10" s="554">
        <f>HTA!D13</f>
        <v>95.427138089740623</v>
      </c>
      <c r="G10" s="555">
        <f>F10</f>
        <v>95.427138089740623</v>
      </c>
      <c r="H10" s="504"/>
      <c r="I10" s="554">
        <f>F10</f>
        <v>95.427138089740623</v>
      </c>
      <c r="J10" s="555">
        <f>F10</f>
        <v>95.427138089740623</v>
      </c>
      <c r="L10" s="505" t="s">
        <v>371</v>
      </c>
      <c r="M10" s="506">
        <f>1000*F16</f>
        <v>305586.80449984799</v>
      </c>
    </row>
    <row r="11" spans="2:13" x14ac:dyDescent="0.25">
      <c r="B11" s="496" t="s">
        <v>372</v>
      </c>
      <c r="C11" s="496" t="s">
        <v>373</v>
      </c>
      <c r="E11" s="507" t="s">
        <v>252</v>
      </c>
      <c r="F11" s="508">
        <f>I83</f>
        <v>24.07407407407408</v>
      </c>
      <c r="G11" s="509">
        <v>24.07</v>
      </c>
      <c r="I11" s="508">
        <v>24.07</v>
      </c>
      <c r="J11" s="509">
        <v>24.07</v>
      </c>
      <c r="L11" s="510" t="s">
        <v>374</v>
      </c>
      <c r="M11" s="511">
        <v>3650</v>
      </c>
    </row>
    <row r="12" spans="2:13" x14ac:dyDescent="0.25">
      <c r="B12" s="496" t="s">
        <v>375</v>
      </c>
      <c r="C12" s="496" t="s">
        <v>376</v>
      </c>
      <c r="E12" s="507" t="s">
        <v>377</v>
      </c>
      <c r="F12" s="508">
        <f>F21</f>
        <v>12.062628987450909</v>
      </c>
      <c r="G12" s="509">
        <f>G21</f>
        <v>12.062628987450909</v>
      </c>
      <c r="I12" s="508">
        <f>I21</f>
        <v>12.062628987450909</v>
      </c>
      <c r="J12" s="509">
        <f>J21</f>
        <v>12.062628987450909</v>
      </c>
      <c r="L12" s="510" t="s">
        <v>378</v>
      </c>
      <c r="M12" s="511">
        <v>1000</v>
      </c>
    </row>
    <row r="13" spans="2:13" x14ac:dyDescent="0.25">
      <c r="C13" s="496" t="s">
        <v>379</v>
      </c>
      <c r="E13" s="507" t="s">
        <v>264</v>
      </c>
      <c r="F13" s="512">
        <v>653645</v>
      </c>
      <c r="G13" s="513">
        <v>653645</v>
      </c>
      <c r="I13" s="512">
        <v>653645</v>
      </c>
      <c r="J13" s="513">
        <v>653645</v>
      </c>
      <c r="L13" s="510" t="s">
        <v>380</v>
      </c>
      <c r="M13" s="511">
        <v>3.63</v>
      </c>
    </row>
    <row r="14" spans="2:13" x14ac:dyDescent="0.25">
      <c r="C14" s="496" t="s">
        <v>381</v>
      </c>
      <c r="E14" s="507" t="s">
        <v>265</v>
      </c>
      <c r="F14" s="508">
        <f>G84</f>
        <v>6.7826086956521756</v>
      </c>
      <c r="G14" s="509">
        <f>G84</f>
        <v>6.7826086956521756</v>
      </c>
      <c r="I14" s="508">
        <f>G84</f>
        <v>6.7826086956521756</v>
      </c>
      <c r="J14" s="509">
        <f>G84</f>
        <v>6.7826086956521756</v>
      </c>
      <c r="L14" s="514" t="s">
        <v>382</v>
      </c>
      <c r="M14" s="515">
        <f>(M11*M12*M13)+M10</f>
        <v>13555086.804499848</v>
      </c>
    </row>
    <row r="15" spans="2:13" x14ac:dyDescent="0.25">
      <c r="B15" s="496" t="s">
        <v>383</v>
      </c>
      <c r="C15" s="516">
        <f>F12</f>
        <v>12.062628987450909</v>
      </c>
      <c r="D15" s="496" t="s">
        <v>384</v>
      </c>
      <c r="E15" s="507" t="s">
        <v>67</v>
      </c>
      <c r="F15" s="508">
        <f>100/F14</f>
        <v>14.743589743589739</v>
      </c>
      <c r="G15" s="517">
        <f>100/G14</f>
        <v>14.743589743589739</v>
      </c>
      <c r="I15" s="508">
        <f>100/I14</f>
        <v>14.743589743589739</v>
      </c>
      <c r="J15" s="517">
        <f>100/J14</f>
        <v>14.743589743589739</v>
      </c>
      <c r="L15" s="505" t="s">
        <v>385</v>
      </c>
      <c r="M15" s="518">
        <v>67.8</v>
      </c>
    </row>
    <row r="16" spans="2:13" x14ac:dyDescent="0.25">
      <c r="E16" s="507" t="s">
        <v>386</v>
      </c>
      <c r="F16" s="512">
        <f>G103</f>
        <v>305.58680449984797</v>
      </c>
      <c r="G16" s="513">
        <f>G103</f>
        <v>305.58680449984797</v>
      </c>
      <c r="I16" s="512">
        <f>G103</f>
        <v>305.58680449984797</v>
      </c>
      <c r="J16" s="513">
        <f>G103</f>
        <v>305.58680449984797</v>
      </c>
      <c r="L16" s="510" t="s">
        <v>264</v>
      </c>
      <c r="M16" s="511">
        <v>200000</v>
      </c>
    </row>
    <row r="17" spans="2:13" x14ac:dyDescent="0.25">
      <c r="B17" s="496" t="s">
        <v>387</v>
      </c>
      <c r="C17" s="496" t="s">
        <v>388</v>
      </c>
      <c r="E17" s="507" t="s">
        <v>268</v>
      </c>
      <c r="F17" s="512">
        <f>F15*(F16+(3650*F12))</f>
        <v>653645</v>
      </c>
      <c r="G17" s="513">
        <f>G15*(G16+(3650*G12))</f>
        <v>653645</v>
      </c>
      <c r="I17" s="512">
        <f>I15*(I16+(3650*I12))</f>
        <v>653645</v>
      </c>
      <c r="J17" s="513">
        <f>J15*(J16+(3650*J12))</f>
        <v>653645</v>
      </c>
      <c r="L17" s="514" t="s">
        <v>389</v>
      </c>
      <c r="M17" s="519">
        <f>M15*M16</f>
        <v>13560000</v>
      </c>
    </row>
    <row r="18" spans="2:13" x14ac:dyDescent="0.25">
      <c r="B18" s="496" t="s">
        <v>375</v>
      </c>
      <c r="C18" s="496" t="s">
        <v>390</v>
      </c>
      <c r="E18" s="507" t="s">
        <v>270</v>
      </c>
      <c r="F18" s="512">
        <f>F12*365</f>
        <v>4402.859580419582</v>
      </c>
      <c r="G18" s="513">
        <f>G12*365</f>
        <v>4402.859580419582</v>
      </c>
      <c r="I18" s="512">
        <f>I12*365</f>
        <v>4402.859580419582</v>
      </c>
      <c r="J18" s="513">
        <f>J12*365</f>
        <v>4402.859580419582</v>
      </c>
      <c r="L18" s="505" t="s">
        <v>391</v>
      </c>
      <c r="M18" s="506">
        <f>M17-M14</f>
        <v>4913.1955001521856</v>
      </c>
    </row>
    <row r="19" spans="2:13" x14ac:dyDescent="0.25">
      <c r="C19" s="496" t="s">
        <v>381</v>
      </c>
      <c r="E19" s="507" t="s">
        <v>271</v>
      </c>
      <c r="F19" s="520">
        <f>F12/F17*F13</f>
        <v>12.062628987450909</v>
      </c>
      <c r="G19" s="521">
        <f>G12/G17*G13</f>
        <v>12.062628987450909</v>
      </c>
      <c r="I19" s="520">
        <f>I12/I17*I13</f>
        <v>12.062628987450909</v>
      </c>
      <c r="J19" s="521">
        <f>J12/J17*J13</f>
        <v>12.062628987450909</v>
      </c>
      <c r="L19" s="514" t="s">
        <v>392</v>
      </c>
      <c r="M19" s="519">
        <f>M17/M14</f>
        <v>1.000362461382285</v>
      </c>
    </row>
    <row r="20" spans="2:13" x14ac:dyDescent="0.25">
      <c r="C20" s="496" t="s">
        <v>393</v>
      </c>
      <c r="E20" s="507" t="s">
        <v>1</v>
      </c>
      <c r="F20" s="512">
        <f>F13/F15-F16</f>
        <v>44028.595804195815</v>
      </c>
      <c r="G20" s="513">
        <f>G13/G15-G16</f>
        <v>44028.595804195815</v>
      </c>
      <c r="I20" s="512">
        <f>I13/I15-I16</f>
        <v>44028.595804195815</v>
      </c>
      <c r="J20" s="513">
        <f>J13/J15-J16</f>
        <v>44028.595804195815</v>
      </c>
    </row>
    <row r="21" spans="2:13" x14ac:dyDescent="0.25">
      <c r="B21" s="496" t="s">
        <v>383</v>
      </c>
      <c r="C21" s="522">
        <f>I32</f>
        <v>8.2490000000000006</v>
      </c>
      <c r="D21" s="496" t="s">
        <v>394</v>
      </c>
      <c r="E21" s="523" t="s">
        <v>273</v>
      </c>
      <c r="F21" s="524">
        <f>F20/3650</f>
        <v>12.062628987450909</v>
      </c>
      <c r="G21" s="525">
        <f>G20/3650</f>
        <v>12.062628987450909</v>
      </c>
      <c r="H21" s="526"/>
      <c r="I21" s="524">
        <f>I20/3650</f>
        <v>12.062628987450909</v>
      </c>
      <c r="J21" s="525">
        <f>J20/3650</f>
        <v>12.062628987450909</v>
      </c>
    </row>
    <row r="22" spans="2:13" ht="15.75" customHeight="1" x14ac:dyDescent="0.25">
      <c r="B22" s="496" t="s">
        <v>395</v>
      </c>
      <c r="C22" s="496" t="s">
        <v>396</v>
      </c>
      <c r="F22" s="527"/>
      <c r="G22" s="527"/>
      <c r="H22" s="527"/>
      <c r="I22" s="527"/>
      <c r="J22" s="527"/>
    </row>
    <row r="23" spans="2:13" ht="21" x14ac:dyDescent="0.25">
      <c r="F23" s="821" t="s">
        <v>397</v>
      </c>
      <c r="G23" s="822"/>
      <c r="H23" s="822"/>
      <c r="I23" s="822"/>
      <c r="J23" s="823"/>
    </row>
    <row r="24" spans="2:13" ht="15" customHeight="1" x14ac:dyDescent="0.25">
      <c r="E24" s="499"/>
      <c r="F24" s="824" t="s">
        <v>367</v>
      </c>
      <c r="G24" s="825"/>
      <c r="I24" s="824" t="s">
        <v>367</v>
      </c>
      <c r="J24" s="825"/>
    </row>
    <row r="25" spans="2:13" x14ac:dyDescent="0.25">
      <c r="E25" s="528" t="s">
        <v>276</v>
      </c>
      <c r="F25" s="529" t="s">
        <v>368</v>
      </c>
      <c r="G25" s="530" t="s">
        <v>368</v>
      </c>
      <c r="I25" s="529" t="s">
        <v>368</v>
      </c>
      <c r="J25" s="530" t="s">
        <v>368</v>
      </c>
    </row>
    <row r="26" spans="2:13" x14ac:dyDescent="0.25">
      <c r="E26" s="531" t="s">
        <v>277</v>
      </c>
      <c r="F26" s="556">
        <f>F10*2</f>
        <v>190.85427617948125</v>
      </c>
      <c r="G26" s="557">
        <f>F10</f>
        <v>95.427138089740623</v>
      </c>
      <c r="H26" s="532"/>
      <c r="I26" s="556">
        <f>F10</f>
        <v>95.427138089740623</v>
      </c>
      <c r="J26" s="557">
        <f>F10</f>
        <v>95.427138089740623</v>
      </c>
    </row>
    <row r="27" spans="2:13" x14ac:dyDescent="0.25">
      <c r="E27" s="531" t="s">
        <v>279</v>
      </c>
      <c r="F27" s="533">
        <f>F26/G71</f>
        <v>158.2693997585942</v>
      </c>
      <c r="G27" s="534">
        <f>G26/G71</f>
        <v>79.134699879297102</v>
      </c>
      <c r="I27" s="533">
        <f>I26/G71</f>
        <v>79.134699879297102</v>
      </c>
      <c r="J27" s="534">
        <f>J26/G71</f>
        <v>79.134699879297102</v>
      </c>
    </row>
    <row r="28" spans="2:13" x14ac:dyDescent="0.25">
      <c r="E28" s="531" t="s">
        <v>280</v>
      </c>
      <c r="F28" s="533">
        <f>F26-F27</f>
        <v>32.584876420887042</v>
      </c>
      <c r="G28" s="534">
        <f>G26-G27</f>
        <v>16.292438210443521</v>
      </c>
      <c r="I28" s="533">
        <f>I26-I27</f>
        <v>16.292438210443521</v>
      </c>
      <c r="J28" s="534">
        <f>J26-J27</f>
        <v>16.292438210443521</v>
      </c>
    </row>
    <row r="29" spans="2:13" x14ac:dyDescent="0.25">
      <c r="E29" s="531" t="s">
        <v>398</v>
      </c>
      <c r="F29" s="538">
        <v>1883546.324</v>
      </c>
      <c r="G29" s="536">
        <v>2000000</v>
      </c>
      <c r="I29" s="535">
        <v>2000000</v>
      </c>
      <c r="J29" s="536">
        <v>2000000</v>
      </c>
    </row>
    <row r="30" spans="2:13" x14ac:dyDescent="0.25">
      <c r="C30" s="496" t="s">
        <v>399</v>
      </c>
      <c r="E30" s="531" t="s">
        <v>400</v>
      </c>
      <c r="F30" s="538">
        <f>HTA!J33</f>
        <v>141120</v>
      </c>
      <c r="G30" s="536">
        <f>(8000*4)+25000</f>
        <v>57000</v>
      </c>
      <c r="I30" s="535">
        <f>(8000*4)+25000</f>
        <v>57000</v>
      </c>
      <c r="J30" s="536">
        <f>(8000*4)+25000</f>
        <v>57000</v>
      </c>
    </row>
    <row r="31" spans="2:13" x14ac:dyDescent="0.25">
      <c r="C31" s="537" t="s">
        <v>401</v>
      </c>
      <c r="D31" s="537"/>
      <c r="E31" s="531" t="s">
        <v>495</v>
      </c>
      <c r="F31" s="538">
        <f>G103*2</f>
        <v>611.17360899969594</v>
      </c>
      <c r="G31" s="539">
        <f>G103</f>
        <v>305.58680449984797</v>
      </c>
      <c r="I31" s="538">
        <f>G103</f>
        <v>305.58680449984797</v>
      </c>
      <c r="J31" s="539">
        <f>G103</f>
        <v>305.58680449984797</v>
      </c>
    </row>
    <row r="32" spans="2:13" x14ac:dyDescent="0.25">
      <c r="E32" s="531" t="s">
        <v>282</v>
      </c>
      <c r="F32" s="533">
        <v>2.7</v>
      </c>
      <c r="G32" s="534">
        <v>3</v>
      </c>
      <c r="I32" s="533">
        <v>8.2490000000000006</v>
      </c>
      <c r="J32" s="534">
        <v>12.2593</v>
      </c>
    </row>
    <row r="33" spans="5:10" x14ac:dyDescent="0.25">
      <c r="E33" s="531" t="s">
        <v>492</v>
      </c>
      <c r="F33" s="535">
        <v>7300</v>
      </c>
      <c r="G33" s="536">
        <v>3650</v>
      </c>
      <c r="I33" s="535">
        <v>3650</v>
      </c>
      <c r="J33" s="536">
        <v>3650</v>
      </c>
    </row>
    <row r="34" spans="5:10" x14ac:dyDescent="0.25">
      <c r="E34" s="531" t="s">
        <v>493</v>
      </c>
      <c r="F34" s="538">
        <f>(F33*F32)+F31</f>
        <v>20321.173608999696</v>
      </c>
      <c r="G34" s="539">
        <f>(G33*G32)+G31</f>
        <v>11255.586804499848</v>
      </c>
      <c r="I34" s="538">
        <f>(I33*I32)+I31</f>
        <v>30414.436804499852</v>
      </c>
      <c r="J34" s="536">
        <f>(J33*J32)+J31</f>
        <v>45052.031804499849</v>
      </c>
    </row>
    <row r="35" spans="5:10" x14ac:dyDescent="0.25">
      <c r="E35" s="531" t="s">
        <v>284</v>
      </c>
      <c r="F35" s="540">
        <f>1000*F34</f>
        <v>20321173.608999696</v>
      </c>
      <c r="G35" s="541">
        <f>1000*G34</f>
        <v>11255586.804499848</v>
      </c>
      <c r="I35" s="540">
        <f>1000*I34</f>
        <v>30414436.804499853</v>
      </c>
      <c r="J35" s="541">
        <f>1000*J34</f>
        <v>45052031.80449985</v>
      </c>
    </row>
    <row r="36" spans="5:10" x14ac:dyDescent="0.25">
      <c r="E36" s="531" t="s">
        <v>252</v>
      </c>
      <c r="F36" s="542">
        <v>0.2407</v>
      </c>
      <c r="G36" s="543">
        <v>0.2407</v>
      </c>
      <c r="I36" s="544">
        <v>0.2407</v>
      </c>
      <c r="J36" s="536">
        <v>0.2407</v>
      </c>
    </row>
    <row r="37" spans="5:10" x14ac:dyDescent="0.25">
      <c r="E37" s="531" t="s">
        <v>286</v>
      </c>
      <c r="F37" s="542">
        <v>0.2407</v>
      </c>
      <c r="G37" s="543">
        <v>0.2407</v>
      </c>
      <c r="H37" s="545"/>
      <c r="I37" s="542">
        <v>0.2407</v>
      </c>
      <c r="J37" s="543">
        <v>0.2407</v>
      </c>
    </row>
    <row r="38" spans="5:10" x14ac:dyDescent="0.25">
      <c r="E38" s="531" t="s">
        <v>287</v>
      </c>
      <c r="F38" s="546">
        <f>F26*F37</f>
        <v>45.938624276401136</v>
      </c>
      <c r="G38" s="547">
        <f>G26*G37</f>
        <v>22.969312138200568</v>
      </c>
      <c r="H38" s="548"/>
      <c r="I38" s="546">
        <f>I26*I37</f>
        <v>22.969312138200568</v>
      </c>
      <c r="J38" s="547">
        <f>J26*J37</f>
        <v>22.969312138200568</v>
      </c>
    </row>
    <row r="39" spans="5:10" x14ac:dyDescent="0.25">
      <c r="E39" s="531" t="s">
        <v>67</v>
      </c>
      <c r="F39" s="533">
        <f>100/F38</f>
        <v>2.1768174727724796</v>
      </c>
      <c r="G39" s="534">
        <f>100/G38</f>
        <v>4.3536349455449592</v>
      </c>
      <c r="I39" s="533">
        <f>100/I38</f>
        <v>4.3536349455449592</v>
      </c>
      <c r="J39" s="534">
        <f>100/J38</f>
        <v>4.3536349455449592</v>
      </c>
    </row>
    <row r="40" spans="5:10" x14ac:dyDescent="0.25">
      <c r="E40" s="531" t="s">
        <v>288</v>
      </c>
      <c r="F40" s="533">
        <f>F27*10</f>
        <v>1582.693997585942</v>
      </c>
      <c r="G40" s="534">
        <f>G27*10</f>
        <v>791.34699879297102</v>
      </c>
      <c r="I40" s="533">
        <f>I27*10</f>
        <v>791.34699879297102</v>
      </c>
      <c r="J40" s="534">
        <f>J27*10</f>
        <v>791.34699879297102</v>
      </c>
    </row>
    <row r="41" spans="5:10" x14ac:dyDescent="0.25">
      <c r="E41" s="531" t="s">
        <v>289</v>
      </c>
      <c r="F41" s="533">
        <f>F28*10</f>
        <v>325.84876420887042</v>
      </c>
      <c r="G41" s="534">
        <f>G28*10</f>
        <v>162.92438210443521</v>
      </c>
      <c r="I41" s="533">
        <f>I28*10</f>
        <v>162.92438210443521</v>
      </c>
      <c r="J41" s="534">
        <f>J28*10</f>
        <v>162.92438210443521</v>
      </c>
    </row>
    <row r="42" spans="5:10" x14ac:dyDescent="0.25">
      <c r="E42" s="531" t="s">
        <v>290</v>
      </c>
      <c r="F42" s="533">
        <f>F40+F41</f>
        <v>1908.5427617948126</v>
      </c>
      <c r="G42" s="534">
        <f>G40+G41</f>
        <v>954.27138089740629</v>
      </c>
      <c r="H42" s="522"/>
      <c r="I42" s="533">
        <f>I40+I41</f>
        <v>954.27138089740629</v>
      </c>
      <c r="J42" s="534">
        <f>J40+J41</f>
        <v>954.27138089740629</v>
      </c>
    </row>
    <row r="43" spans="5:10" x14ac:dyDescent="0.25">
      <c r="E43" s="531" t="s">
        <v>291</v>
      </c>
      <c r="F43" s="533">
        <f>F40*F37</f>
        <v>380.95444521893626</v>
      </c>
      <c r="G43" s="534">
        <f>G40*G37</f>
        <v>190.47722260946813</v>
      </c>
      <c r="I43" s="533">
        <f>I40*I37</f>
        <v>190.47722260946813</v>
      </c>
      <c r="J43" s="534">
        <f>J40*J37</f>
        <v>190.47722260946813</v>
      </c>
    </row>
    <row r="44" spans="5:10" x14ac:dyDescent="0.25">
      <c r="E44" s="531" t="s">
        <v>292</v>
      </c>
      <c r="F44" s="533">
        <f>F41*F37</f>
        <v>78.431797545075113</v>
      </c>
      <c r="G44" s="534">
        <f>G41*G37</f>
        <v>39.215898772537557</v>
      </c>
      <c r="I44" s="533">
        <f>I41*I37</f>
        <v>39.215898772537557</v>
      </c>
      <c r="J44" s="534">
        <f>J41*J37</f>
        <v>39.215898772537557</v>
      </c>
    </row>
    <row r="45" spans="5:10" x14ac:dyDescent="0.25">
      <c r="E45" s="531" t="s">
        <v>293</v>
      </c>
      <c r="F45" s="533">
        <f>F43+F44</f>
        <v>459.3862427640114</v>
      </c>
      <c r="G45" s="534">
        <f>G43+G44</f>
        <v>229.6931213820057</v>
      </c>
      <c r="I45" s="533">
        <f>I43+I44</f>
        <v>229.6931213820057</v>
      </c>
      <c r="J45" s="534">
        <f>J43+J44</f>
        <v>229.6931213820057</v>
      </c>
    </row>
    <row r="46" spans="5:10" x14ac:dyDescent="0.25">
      <c r="E46" s="549" t="s">
        <v>294</v>
      </c>
      <c r="F46" s="533">
        <f>(F43*20)/2</f>
        <v>3809.5444521893623</v>
      </c>
      <c r="G46" s="534">
        <f>(G43*10)/2</f>
        <v>952.38611304734059</v>
      </c>
      <c r="I46" s="533">
        <f>(I43*10)/2</f>
        <v>952.38611304734059</v>
      </c>
      <c r="J46" s="534">
        <f>(J43*10)/2</f>
        <v>952.38611304734059</v>
      </c>
    </row>
    <row r="47" spans="5:10" x14ac:dyDescent="0.25">
      <c r="E47" s="549" t="s">
        <v>295</v>
      </c>
      <c r="F47" s="533">
        <f>((F44*20)/2)*0.2</f>
        <v>156.86359509015026</v>
      </c>
      <c r="G47" s="534">
        <f>((G44*10)/2)*0.2</f>
        <v>39.215898772537564</v>
      </c>
      <c r="I47" s="533">
        <f>((I44*10)/2)*0.2</f>
        <v>39.215898772537564</v>
      </c>
      <c r="J47" s="534">
        <f>((J44*10)/2)*0.2</f>
        <v>39.215898772537564</v>
      </c>
    </row>
    <row r="48" spans="5:10" x14ac:dyDescent="0.25">
      <c r="E48" s="549" t="s">
        <v>296</v>
      </c>
      <c r="F48" s="533">
        <f>F46+F47</f>
        <v>3966.4080472795126</v>
      </c>
      <c r="G48" s="534">
        <f>G46+G47</f>
        <v>991.60201181987816</v>
      </c>
      <c r="I48" s="533">
        <f>I46+I47</f>
        <v>991.60201181987816</v>
      </c>
      <c r="J48" s="534">
        <f>J46+J47</f>
        <v>991.60201181987816</v>
      </c>
    </row>
    <row r="49" spans="5:10" x14ac:dyDescent="0.25">
      <c r="E49" s="549" t="s">
        <v>297</v>
      </c>
      <c r="F49" s="540">
        <f>F43*F29</f>
        <v>717545344.90358675</v>
      </c>
      <c r="G49" s="541">
        <f>G43*G29</f>
        <v>380954445.21893626</v>
      </c>
      <c r="I49" s="540">
        <f>I43*I29</f>
        <v>380954445.21893626</v>
      </c>
      <c r="J49" s="541">
        <f>J43*J29</f>
        <v>380954445.21893626</v>
      </c>
    </row>
    <row r="50" spans="5:10" x14ac:dyDescent="0.25">
      <c r="E50" s="549" t="s">
        <v>298</v>
      </c>
      <c r="F50" s="540">
        <f>F44*F30</f>
        <v>11068295.269561</v>
      </c>
      <c r="G50" s="541">
        <f>G44*G30</f>
        <v>2235306.2300346405</v>
      </c>
      <c r="I50" s="540">
        <f>I44*I30</f>
        <v>2235306.2300346405</v>
      </c>
      <c r="J50" s="541">
        <f>J44*J30</f>
        <v>2235306.2300346405</v>
      </c>
    </row>
    <row r="51" spans="5:10" x14ac:dyDescent="0.25">
      <c r="E51" s="549" t="s">
        <v>299</v>
      </c>
      <c r="F51" s="540">
        <f>F49+F50</f>
        <v>728613640.1731478</v>
      </c>
      <c r="G51" s="541">
        <f>G49+G50</f>
        <v>383189751.44897091</v>
      </c>
      <c r="I51" s="540">
        <f>I49+I50</f>
        <v>383189751.44897091</v>
      </c>
      <c r="J51" s="541">
        <f>J49+J50</f>
        <v>383189751.44897091</v>
      </c>
    </row>
    <row r="52" spans="5:10" x14ac:dyDescent="0.25">
      <c r="E52" s="531" t="s">
        <v>300</v>
      </c>
      <c r="F52" s="533">
        <f>F51/1000</f>
        <v>728613.64017314778</v>
      </c>
      <c r="G52" s="534">
        <f>G51/1000</f>
        <v>383189.75144897093</v>
      </c>
      <c r="I52" s="533">
        <f>I51/1000</f>
        <v>383189.75144897093</v>
      </c>
      <c r="J52" s="534">
        <f>J51/1000</f>
        <v>383189.75144897093</v>
      </c>
    </row>
    <row r="53" spans="5:10" x14ac:dyDescent="0.25">
      <c r="E53" s="531" t="s">
        <v>301</v>
      </c>
      <c r="F53" s="533">
        <f>F34-F52</f>
        <v>-708292.46656414808</v>
      </c>
      <c r="G53" s="534">
        <f>G34-G52</f>
        <v>-371934.16464447108</v>
      </c>
      <c r="I53" s="533">
        <f>I34-I52</f>
        <v>-352775.3146444711</v>
      </c>
      <c r="J53" s="534">
        <f>J34-J52</f>
        <v>-338137.71964447107</v>
      </c>
    </row>
    <row r="54" spans="5:10" x14ac:dyDescent="0.25">
      <c r="E54" s="550" t="s">
        <v>302</v>
      </c>
      <c r="F54" s="551">
        <f>F53/F48*1000</f>
        <v>-178572.76864137896</v>
      </c>
      <c r="G54" s="552">
        <f>G53/G48*1000</f>
        <v>-375084.11662241758</v>
      </c>
      <c r="I54" s="551">
        <f>I53/I48*1000</f>
        <v>-355763.00818210904</v>
      </c>
      <c r="J54" s="552">
        <f>J53/J48*1000</f>
        <v>-341001.44575532881</v>
      </c>
    </row>
    <row r="58" spans="5:10" x14ac:dyDescent="0.25">
      <c r="F58" s="502" t="s">
        <v>402</v>
      </c>
      <c r="G58" s="532"/>
      <c r="H58" s="532"/>
    </row>
    <row r="59" spans="5:10" x14ac:dyDescent="0.25">
      <c r="G59" s="532"/>
      <c r="H59" s="532"/>
    </row>
    <row r="60" spans="5:10" x14ac:dyDescent="0.25">
      <c r="G60" s="532">
        <v>27395</v>
      </c>
      <c r="H60" s="532"/>
    </row>
    <row r="61" spans="5:10" x14ac:dyDescent="0.25">
      <c r="G61" s="532"/>
      <c r="H61" s="532"/>
    </row>
    <row r="62" spans="5:10" x14ac:dyDescent="0.25">
      <c r="G62" s="532" t="s">
        <v>403</v>
      </c>
      <c r="H62" s="532" t="s">
        <v>404</v>
      </c>
    </row>
    <row r="63" spans="5:10" x14ac:dyDescent="0.25">
      <c r="G63" s="532">
        <v>9152</v>
      </c>
      <c r="H63" s="532">
        <v>9117</v>
      </c>
    </row>
    <row r="64" spans="5:10" x14ac:dyDescent="0.25">
      <c r="E64" s="496" t="s">
        <v>405</v>
      </c>
      <c r="F64" s="496" t="s">
        <v>406</v>
      </c>
      <c r="G64" s="532">
        <v>379</v>
      </c>
      <c r="H64" s="532">
        <v>496</v>
      </c>
    </row>
    <row r="65" spans="6:8" x14ac:dyDescent="0.25">
      <c r="F65" s="496" t="s">
        <v>407</v>
      </c>
      <c r="G65" s="532">
        <v>160</v>
      </c>
      <c r="H65" s="532">
        <v>203</v>
      </c>
    </row>
    <row r="66" spans="6:8" x14ac:dyDescent="0.25">
      <c r="F66" s="496" t="s">
        <v>408</v>
      </c>
      <c r="G66" s="532">
        <v>153</v>
      </c>
      <c r="H66" s="532">
        <v>157</v>
      </c>
    </row>
    <row r="67" spans="6:8" x14ac:dyDescent="0.25">
      <c r="F67" s="496" t="s">
        <v>409</v>
      </c>
      <c r="G67" s="532">
        <f>G65+G66</f>
        <v>313</v>
      </c>
      <c r="H67" s="532">
        <f>H65+H66</f>
        <v>360</v>
      </c>
    </row>
    <row r="68" spans="6:8" x14ac:dyDescent="0.25">
      <c r="F68" s="496" t="s">
        <v>410</v>
      </c>
      <c r="G68" s="532">
        <v>4.0999999999999996</v>
      </c>
      <c r="H68" s="532">
        <v>5.4</v>
      </c>
    </row>
    <row r="69" spans="6:8" x14ac:dyDescent="0.25">
      <c r="F69" s="496" t="s">
        <v>411</v>
      </c>
      <c r="G69" s="532">
        <v>3.1</v>
      </c>
      <c r="H69" s="532">
        <v>1.9</v>
      </c>
    </row>
    <row r="70" spans="6:8" x14ac:dyDescent="0.25">
      <c r="F70" s="496" t="s">
        <v>412</v>
      </c>
      <c r="G70" s="532">
        <v>3.4</v>
      </c>
      <c r="H70" s="532">
        <v>4.0999999999999996</v>
      </c>
    </row>
    <row r="71" spans="6:8" x14ac:dyDescent="0.25">
      <c r="G71" s="532">
        <f>G68/G70</f>
        <v>1.2058823529411764</v>
      </c>
      <c r="H71" s="532">
        <f>H68/H70</f>
        <v>1.3170731707317076</v>
      </c>
    </row>
    <row r="74" spans="6:8" x14ac:dyDescent="0.25">
      <c r="F74" s="496" t="s">
        <v>413</v>
      </c>
      <c r="G74" s="532"/>
      <c r="H74" s="532"/>
    </row>
    <row r="75" spans="6:8" x14ac:dyDescent="0.25">
      <c r="F75" s="496" t="s">
        <v>414</v>
      </c>
      <c r="G75" s="532"/>
      <c r="H75" s="532"/>
    </row>
    <row r="76" spans="6:8" x14ac:dyDescent="0.25">
      <c r="F76" s="496" t="s">
        <v>415</v>
      </c>
      <c r="G76" s="532"/>
      <c r="H76" s="532"/>
    </row>
    <row r="77" spans="6:8" x14ac:dyDescent="0.25">
      <c r="F77" s="496" t="s">
        <v>416</v>
      </c>
      <c r="G77" s="532"/>
      <c r="H77" s="532"/>
    </row>
    <row r="78" spans="6:8" x14ac:dyDescent="0.25">
      <c r="G78" s="532"/>
      <c r="H78" s="532"/>
    </row>
    <row r="79" spans="6:8" x14ac:dyDescent="0.25">
      <c r="F79" s="496" t="s">
        <v>417</v>
      </c>
      <c r="G79" s="532">
        <v>23</v>
      </c>
      <c r="H79" s="532">
        <f>G80/G79</f>
        <v>5.2173913043478262</v>
      </c>
    </row>
    <row r="80" spans="6:8" x14ac:dyDescent="0.25">
      <c r="F80" s="496" t="s">
        <v>418</v>
      </c>
      <c r="G80" s="532">
        <f>12*10</f>
        <v>120</v>
      </c>
      <c r="H80" s="532"/>
    </row>
    <row r="81" spans="5:9" x14ac:dyDescent="0.25">
      <c r="G81" s="532"/>
      <c r="H81" s="532"/>
    </row>
    <row r="82" spans="5:9" x14ac:dyDescent="0.25">
      <c r="E82" s="496" t="s">
        <v>419</v>
      </c>
      <c r="F82" s="496" t="s">
        <v>410</v>
      </c>
      <c r="G82" s="532">
        <f>G68*$H$79</f>
        <v>21.391304347826086</v>
      </c>
      <c r="H82" s="532">
        <f>H68*$H$79</f>
        <v>28.173913043478262</v>
      </c>
    </row>
    <row r="83" spans="5:9" x14ac:dyDescent="0.25">
      <c r="F83" s="496" t="s">
        <v>252</v>
      </c>
      <c r="G83" s="532">
        <f>G82/H82</f>
        <v>0.75925925925925919</v>
      </c>
      <c r="H83" s="532"/>
      <c r="I83" s="496">
        <f>(1-G83)*100</f>
        <v>24.07407407407408</v>
      </c>
    </row>
    <row r="84" spans="5:9" x14ac:dyDescent="0.25">
      <c r="F84" s="496" t="s">
        <v>287</v>
      </c>
      <c r="G84" s="532">
        <f>H82-G82</f>
        <v>6.7826086956521756</v>
      </c>
      <c r="H84" s="532"/>
    </row>
    <row r="85" spans="5:9" x14ac:dyDescent="0.25">
      <c r="F85" s="496" t="s">
        <v>67</v>
      </c>
      <c r="G85" s="532">
        <f>100/G84</f>
        <v>14.743589743589739</v>
      </c>
      <c r="H85" s="532"/>
    </row>
    <row r="88" spans="5:9" x14ac:dyDescent="0.25">
      <c r="E88" s="496" t="s">
        <v>420</v>
      </c>
      <c r="G88" s="496">
        <f>G68*$H$79</f>
        <v>21.391304347826086</v>
      </c>
      <c r="H88" s="496">
        <f>H68*$H$79</f>
        <v>28.173913043478262</v>
      </c>
    </row>
    <row r="90" spans="5:9" x14ac:dyDescent="0.25">
      <c r="G90" s="496">
        <v>27</v>
      </c>
    </row>
    <row r="91" spans="5:9" x14ac:dyDescent="0.25">
      <c r="G91" s="496">
        <f>G90/G71</f>
        <v>22.390243902439025</v>
      </c>
    </row>
    <row r="94" spans="5:9" x14ac:dyDescent="0.25">
      <c r="E94" s="496" t="s">
        <v>421</v>
      </c>
      <c r="G94" s="496">
        <f>17868/3</f>
        <v>5956</v>
      </c>
    </row>
    <row r="95" spans="5:9" x14ac:dyDescent="0.25">
      <c r="E95" s="496" t="s">
        <v>422</v>
      </c>
      <c r="G95" s="496">
        <v>206</v>
      </c>
      <c r="H95" s="496">
        <v>116</v>
      </c>
    </row>
    <row r="96" spans="5:9" x14ac:dyDescent="0.25">
      <c r="E96" s="496" t="s">
        <v>423</v>
      </c>
      <c r="G96" s="496">
        <v>9152</v>
      </c>
    </row>
    <row r="97" spans="5:7" x14ac:dyDescent="0.25">
      <c r="E97" s="496" t="s">
        <v>424</v>
      </c>
      <c r="G97" s="496">
        <f>G95-H95</f>
        <v>90</v>
      </c>
    </row>
    <row r="98" spans="5:7" x14ac:dyDescent="0.25">
      <c r="E98" s="496" t="s">
        <v>425</v>
      </c>
      <c r="G98" s="553">
        <f>G97/G96*10000</f>
        <v>98.33916083916084</v>
      </c>
    </row>
    <row r="99" spans="5:7" x14ac:dyDescent="0.25">
      <c r="E99" s="496" t="s">
        <v>426</v>
      </c>
      <c r="G99" s="548">
        <f>G98/23*12</f>
        <v>51.307388263910006</v>
      </c>
    </row>
    <row r="100" spans="5:7" x14ac:dyDescent="0.25">
      <c r="E100" s="496" t="s">
        <v>427</v>
      </c>
      <c r="G100" s="548">
        <f>G99/10</f>
        <v>5.130738826391001</v>
      </c>
    </row>
    <row r="101" spans="5:7" x14ac:dyDescent="0.25">
      <c r="E101" s="496" t="s">
        <v>428</v>
      </c>
      <c r="G101" s="553">
        <f>G100*G94</f>
        <v>30558.6804499848</v>
      </c>
    </row>
    <row r="102" spans="5:7" x14ac:dyDescent="0.25">
      <c r="E102" s="496" t="s">
        <v>429</v>
      </c>
      <c r="G102" s="553">
        <f>G101*10</f>
        <v>305586.80449984799</v>
      </c>
    </row>
    <row r="103" spans="5:7" x14ac:dyDescent="0.25">
      <c r="E103" s="496" t="s">
        <v>430</v>
      </c>
      <c r="G103" s="553">
        <f>G102/1000</f>
        <v>305.58680449984797</v>
      </c>
    </row>
    <row r="108" spans="5:7" x14ac:dyDescent="0.25">
      <c r="G108" s="496" t="s">
        <v>1</v>
      </c>
    </row>
  </sheetData>
  <mergeCells count="10">
    <mergeCell ref="F23:J23"/>
    <mergeCell ref="F24:G24"/>
    <mergeCell ref="I24:J24"/>
    <mergeCell ref="E2:J2"/>
    <mergeCell ref="F3:J3"/>
    <mergeCell ref="F4:J4"/>
    <mergeCell ref="F5:J5"/>
    <mergeCell ref="F7:J7"/>
    <mergeCell ref="F8:G8"/>
    <mergeCell ref="I8:J8"/>
  </mergeCells>
  <hyperlinks>
    <hyperlink ref="C31" r:id="rId1" xr:uid="{90723A9A-C51C-40B2-9731-0CA0BA6D5C3F}"/>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8D9B1-2EA4-4507-8569-8BE79B9379FD}">
  <dimension ref="D1:H20"/>
  <sheetViews>
    <sheetView zoomScale="121" workbookViewId="0">
      <selection activeCell="E9" sqref="E9"/>
    </sheetView>
  </sheetViews>
  <sheetFormatPr baseColWidth="10" defaultRowHeight="15" x14ac:dyDescent="0.25"/>
  <cols>
    <col min="1" max="3" width="11.42578125" style="496"/>
    <col min="4" max="4" width="39" style="496" bestFit="1" customWidth="1"/>
    <col min="5" max="5" width="11.42578125" style="532"/>
    <col min="6" max="6" width="11.42578125" style="496"/>
    <col min="7" max="7" width="18.5703125" style="496" bestFit="1" customWidth="1"/>
    <col min="8" max="16384" width="11.42578125" style="496"/>
  </cols>
  <sheetData>
    <row r="1" spans="4:8" x14ac:dyDescent="0.25">
      <c r="D1" s="779" t="s">
        <v>616</v>
      </c>
      <c r="E1" s="780"/>
      <c r="F1" s="780"/>
      <c r="G1" s="780"/>
      <c r="H1" s="780"/>
    </row>
    <row r="2" spans="4:8" x14ac:dyDescent="0.25">
      <c r="D2" s="496" t="s">
        <v>630</v>
      </c>
      <c r="E2" s="532" t="s">
        <v>653</v>
      </c>
    </row>
    <row r="3" spans="4:8" x14ac:dyDescent="0.25">
      <c r="D3" s="496" t="s">
        <v>1</v>
      </c>
    </row>
    <row r="4" spans="4:8" x14ac:dyDescent="0.25">
      <c r="D4" s="496" t="s">
        <v>311</v>
      </c>
      <c r="E4" s="774" t="s">
        <v>166</v>
      </c>
      <c r="G4" s="496" t="s">
        <v>542</v>
      </c>
      <c r="H4" s="774">
        <v>170</v>
      </c>
    </row>
    <row r="5" spans="4:8" x14ac:dyDescent="0.25">
      <c r="D5" s="496" t="s">
        <v>613</v>
      </c>
      <c r="E5" s="774">
        <v>140</v>
      </c>
      <c r="G5" s="496" t="s">
        <v>355</v>
      </c>
      <c r="H5" s="774">
        <v>58</v>
      </c>
    </row>
    <row r="6" spans="4:8" x14ac:dyDescent="0.25">
      <c r="D6" s="496" t="s">
        <v>543</v>
      </c>
      <c r="E6" s="774" t="s">
        <v>525</v>
      </c>
    </row>
    <row r="7" spans="4:8" x14ac:dyDescent="0.25">
      <c r="D7" s="496" t="s">
        <v>544</v>
      </c>
      <c r="E7" s="774" t="s">
        <v>525</v>
      </c>
      <c r="G7" s="496" t="s">
        <v>640</v>
      </c>
      <c r="H7" s="774">
        <v>100</v>
      </c>
    </row>
    <row r="8" spans="4:8" x14ac:dyDescent="0.25">
      <c r="D8" s="496" t="s">
        <v>545</v>
      </c>
      <c r="E8" s="774" t="s">
        <v>525</v>
      </c>
    </row>
    <row r="9" spans="4:8" x14ac:dyDescent="0.25">
      <c r="D9" s="496" t="s">
        <v>358</v>
      </c>
      <c r="E9" s="775">
        <v>4.4000000000000004</v>
      </c>
    </row>
    <row r="10" spans="4:8" x14ac:dyDescent="0.25">
      <c r="D10" s="496" t="s">
        <v>41</v>
      </c>
      <c r="E10" s="775">
        <v>0.9</v>
      </c>
    </row>
    <row r="11" spans="4:8" x14ac:dyDescent="0.25">
      <c r="D11" s="496" t="s">
        <v>51</v>
      </c>
      <c r="E11" s="775">
        <v>2.9</v>
      </c>
    </row>
    <row r="12" spans="4:8" x14ac:dyDescent="0.25">
      <c r="D12" s="496" t="s">
        <v>1</v>
      </c>
      <c r="E12" s="496" t="s">
        <v>1</v>
      </c>
    </row>
    <row r="13" spans="4:8" x14ac:dyDescent="0.25">
      <c r="D13" s="496" t="s">
        <v>1</v>
      </c>
      <c r="E13" s="496" t="s">
        <v>1</v>
      </c>
    </row>
    <row r="14" spans="4:8" x14ac:dyDescent="0.25">
      <c r="D14" s="496" t="s">
        <v>546</v>
      </c>
      <c r="E14" s="727" t="s">
        <v>167</v>
      </c>
    </row>
    <row r="15" spans="4:8" x14ac:dyDescent="0.25">
      <c r="D15" s="496" t="s">
        <v>547</v>
      </c>
      <c r="E15" s="727" t="s">
        <v>525</v>
      </c>
    </row>
    <row r="16" spans="4:8" x14ac:dyDescent="0.25">
      <c r="D16" s="496" t="s">
        <v>548</v>
      </c>
      <c r="E16" s="727" t="s">
        <v>167</v>
      </c>
    </row>
    <row r="17" spans="4:8" x14ac:dyDescent="0.25">
      <c r="D17" s="496" t="s">
        <v>549</v>
      </c>
      <c r="E17" s="727" t="s">
        <v>167</v>
      </c>
    </row>
    <row r="19" spans="4:8" x14ac:dyDescent="0.25">
      <c r="D19" s="779" t="s">
        <v>652</v>
      </c>
      <c r="E19" s="780"/>
      <c r="F19" s="780"/>
      <c r="G19" s="780"/>
      <c r="H19" s="780"/>
    </row>
    <row r="20" spans="4:8" x14ac:dyDescent="0.25">
      <c r="D20" s="496" t="s">
        <v>1</v>
      </c>
      <c r="E20" s="772"/>
    </row>
  </sheetData>
  <mergeCells count="2">
    <mergeCell ref="D1:H1"/>
    <mergeCell ref="D19:H19"/>
  </mergeCells>
  <pageMargins left="0.7" right="0.7" top="0.78740157499999996" bottom="0.78740157499999996"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CDF77-DCE0-46C9-BBBF-86C27C81CB7E}">
  <dimension ref="D1:H28"/>
  <sheetViews>
    <sheetView tabSelected="1" workbookViewId="0">
      <selection activeCell="D21" sqref="D21:F26"/>
    </sheetView>
  </sheetViews>
  <sheetFormatPr baseColWidth="10" defaultRowHeight="15" x14ac:dyDescent="0.25"/>
  <cols>
    <col min="1" max="3" width="11.42578125" style="728"/>
    <col min="4" max="4" width="137.7109375" style="728" bestFit="1" customWidth="1"/>
    <col min="5" max="5" width="11.42578125" style="728"/>
    <col min="6" max="6" width="16" style="731" customWidth="1"/>
    <col min="7" max="16384" width="11.42578125" style="728"/>
  </cols>
  <sheetData>
    <row r="1" spans="4:8" s="733" customFormat="1" ht="41.25" customHeight="1" x14ac:dyDescent="0.25">
      <c r="D1" s="781" t="str">
        <f>'Calculator (for experts)'!D50:E50</f>
        <v>This patient is categorized as very high risk by FRAMINGHAM</v>
      </c>
      <c r="E1" s="781"/>
      <c r="F1" s="781"/>
    </row>
    <row r="2" spans="4:8" s="733" customFormat="1" ht="14.25" customHeight="1" x14ac:dyDescent="0.25">
      <c r="D2" s="734"/>
      <c r="E2" s="734"/>
      <c r="F2" s="734"/>
    </row>
    <row r="3" spans="4:8" ht="26.25" x14ac:dyDescent="0.4">
      <c r="D3" s="729" t="s">
        <v>617</v>
      </c>
      <c r="F3" s="736" t="s">
        <v>633</v>
      </c>
    </row>
    <row r="4" spans="4:8" ht="18.75" x14ac:dyDescent="0.3">
      <c r="D4" s="739" t="s">
        <v>618</v>
      </c>
      <c r="E4" s="740"/>
      <c r="F4" s="741">
        <f>'Calculator (for experts)'!H9</f>
        <v>76.150702012561993</v>
      </c>
      <c r="H4" s="728" t="s">
        <v>1</v>
      </c>
    </row>
    <row r="5" spans="4:8" ht="18.75" x14ac:dyDescent="0.3">
      <c r="D5" s="742" t="s">
        <v>619</v>
      </c>
      <c r="E5" s="743"/>
      <c r="F5" s="744">
        <f>'Calculator (for experts)'!H10</f>
        <v>9.8655358666197017</v>
      </c>
      <c r="H5" s="728" t="s">
        <v>1</v>
      </c>
    </row>
    <row r="6" spans="4:8" ht="18.75" x14ac:dyDescent="0.3">
      <c r="D6" s="742" t="s">
        <v>620</v>
      </c>
      <c r="E6" s="743"/>
      <c r="F6" s="744">
        <f>'Calculator (for experts)'!H11</f>
        <v>95.427138089740623</v>
      </c>
      <c r="H6" s="728" t="s">
        <v>1</v>
      </c>
    </row>
    <row r="7" spans="4:8" ht="18.75" x14ac:dyDescent="0.3">
      <c r="D7" s="742" t="s">
        <v>621</v>
      </c>
      <c r="E7" s="743"/>
      <c r="F7" s="744">
        <f>'Calculator (for experts)'!H12</f>
        <v>11.803050239041191</v>
      </c>
    </row>
    <row r="8" spans="4:8" ht="18.75" x14ac:dyDescent="0.3">
      <c r="D8" s="745" t="s">
        <v>622</v>
      </c>
      <c r="E8" s="746"/>
      <c r="F8" s="747">
        <f>'Calculator (for experts)'!H13</f>
        <v>84.500405213475062</v>
      </c>
    </row>
    <row r="9" spans="4:8" ht="15.75" x14ac:dyDescent="0.25">
      <c r="D9" s="728" t="s">
        <v>1</v>
      </c>
      <c r="F9" s="730" t="s">
        <v>1</v>
      </c>
    </row>
    <row r="10" spans="4:8" ht="26.25" x14ac:dyDescent="0.4">
      <c r="D10" s="729" t="s">
        <v>536</v>
      </c>
      <c r="F10" s="735" t="s">
        <v>111</v>
      </c>
    </row>
    <row r="11" spans="4:8" ht="18.75" x14ac:dyDescent="0.3">
      <c r="D11" s="748" t="str">
        <f>'Calculator (for experts)'!G18</f>
        <v>Aspirin is appropriate in secondary prevention</v>
      </c>
      <c r="E11" s="749"/>
      <c r="F11" s="750" t="str">
        <f>'Calculator (for experts)'!H18</f>
        <v/>
      </c>
    </row>
    <row r="12" spans="4:8" ht="18.75" x14ac:dyDescent="0.3">
      <c r="D12" s="751" t="str">
        <f>'Calculator (for experts)'!G19</f>
        <v>Xarelto vascular may be indicated</v>
      </c>
      <c r="E12" s="752"/>
      <c r="F12" s="753" t="s">
        <v>1</v>
      </c>
    </row>
    <row r="13" spans="4:8" ht="18.75" x14ac:dyDescent="0.3">
      <c r="D13" s="751" t="str">
        <f>'Calculator (for experts)'!G20</f>
        <v>LDL goal of 1.4 mmol/l not reached</v>
      </c>
      <c r="E13" s="752"/>
      <c r="F13" s="753" t="str">
        <f>'Calculator (for experts)'!H20</f>
        <v xml:space="preserve"> </v>
      </c>
    </row>
    <row r="14" spans="4:8" ht="18.75" x14ac:dyDescent="0.3">
      <c r="D14" s="754" t="str">
        <f>'Calculator (for experts)'!G21</f>
        <v>Blood pressure goal NOT reached</v>
      </c>
      <c r="E14" s="755"/>
      <c r="F14" s="756" t="str">
        <f>'Calculator (for experts)'!H21</f>
        <v xml:space="preserve"> </v>
      </c>
    </row>
    <row r="15" spans="4:8" ht="15.75" x14ac:dyDescent="0.25">
      <c r="F15" s="730" t="str">
        <f>'Calculator (for experts)'!H22</f>
        <v xml:space="preserve"> </v>
      </c>
    </row>
    <row r="16" spans="4:8" ht="26.25" x14ac:dyDescent="0.4">
      <c r="D16" s="729" t="s">
        <v>537</v>
      </c>
      <c r="F16" s="730" t="s">
        <v>1</v>
      </c>
    </row>
    <row r="17" spans="4:6" ht="18.75" x14ac:dyDescent="0.3">
      <c r="D17" s="757" t="s">
        <v>162</v>
      </c>
      <c r="E17" s="758"/>
      <c r="F17" s="759">
        <f>'Calculator (for experts)'!H24</f>
        <v>51.364799999999995</v>
      </c>
    </row>
    <row r="18" spans="4:6" ht="18.75" x14ac:dyDescent="0.3">
      <c r="D18" s="760" t="s">
        <v>346</v>
      </c>
      <c r="E18" s="761"/>
      <c r="F18" s="762">
        <f>'Calculator (for experts)'!H25</f>
        <v>20.069204152249139</v>
      </c>
    </row>
    <row r="19" spans="4:6" ht="15.75" x14ac:dyDescent="0.25">
      <c r="F19" s="730" t="s">
        <v>1</v>
      </c>
    </row>
    <row r="20" spans="4:6" ht="26.25" x14ac:dyDescent="0.4">
      <c r="D20" s="729" t="s">
        <v>635</v>
      </c>
      <c r="F20" s="735" t="s">
        <v>634</v>
      </c>
    </row>
    <row r="21" spans="4:6" ht="18.75" x14ac:dyDescent="0.3">
      <c r="D21" s="763" t="s">
        <v>517</v>
      </c>
      <c r="E21" s="764"/>
      <c r="F21" s="836">
        <f>'Calculator (for experts)'!H28</f>
        <v>-45714.476490454137</v>
      </c>
    </row>
    <row r="22" spans="4:6" ht="18.75" x14ac:dyDescent="0.3">
      <c r="D22" s="765" t="s">
        <v>518</v>
      </c>
      <c r="E22" s="766"/>
      <c r="F22" s="837">
        <f>'Calculator (for experts)'!H29</f>
        <v>-44822.975227135314</v>
      </c>
    </row>
    <row r="23" spans="4:6" ht="18.75" x14ac:dyDescent="0.3">
      <c r="D23" s="765" t="s">
        <v>519</v>
      </c>
      <c r="E23" s="766"/>
      <c r="F23" s="837">
        <f>'Calculator (for experts)'!H30</f>
        <v>-35629.837605526824</v>
      </c>
    </row>
    <row r="24" spans="4:6" ht="18.75" x14ac:dyDescent="0.3">
      <c r="D24" s="765" t="s">
        <v>520</v>
      </c>
      <c r="E24" s="766"/>
      <c r="F24" s="837">
        <f>'Calculator (for experts)'!H31</f>
        <v>30730.938488457876</v>
      </c>
    </row>
    <row r="25" spans="4:6" ht="18.75" x14ac:dyDescent="0.3">
      <c r="D25" s="765" t="s">
        <v>521</v>
      </c>
      <c r="E25" s="766"/>
      <c r="F25" s="837">
        <f>'Calculator (for experts)'!H32</f>
        <v>33198.615345409955</v>
      </c>
    </row>
    <row r="26" spans="4:6" ht="18.75" x14ac:dyDescent="0.3">
      <c r="D26" s="767" t="s">
        <v>522</v>
      </c>
      <c r="E26" s="768"/>
      <c r="F26" s="838">
        <f>'Calculator (for experts)'!H33</f>
        <v>-178572.76864137896</v>
      </c>
    </row>
    <row r="28" spans="4:6" x14ac:dyDescent="0.25">
      <c r="D28" s="728" t="s">
        <v>1</v>
      </c>
    </row>
  </sheetData>
  <mergeCells count="1">
    <mergeCell ref="D1:F1"/>
  </mergeCells>
  <pageMargins left="0.7" right="0.7" top="0.78740157499999996" bottom="0.78740157499999996" header="0.3" footer="0.3"/>
  <extLst>
    <ext xmlns:x14="http://schemas.microsoft.com/office/spreadsheetml/2009/9/main" uri="{78C0D931-6437-407d-A8EE-F0AAD7539E65}">
      <x14:conditionalFormattings>
        <x14:conditionalFormatting xmlns:xm="http://schemas.microsoft.com/office/excel/2006/main">
          <x14:cfRule type="iconSet" priority="6" id="{E24D6A10-CC02-42FF-B80B-2BC04E7C8ACA}">
            <x14:iconSet iconSet="3Symbols" custom="1">
              <x14:cfvo type="percent">
                <xm:f>0</xm:f>
              </x14:cfvo>
              <x14:cfvo type="num">
                <xm:f>10</xm:f>
              </x14:cfvo>
              <x14:cfvo type="num">
                <xm:f>20</xm:f>
              </x14:cfvo>
              <x14:cfIcon iconSet="3Symbols" iconId="2"/>
              <x14:cfIcon iconSet="3Symbols" iconId="1"/>
              <x14:cfIcon iconSet="3Symbols" iconId="0"/>
            </x14:iconSet>
          </x14:cfRule>
          <xm:sqref>F19 F4 F6:F9 F12:F16</xm:sqref>
        </x14:conditionalFormatting>
        <x14:conditionalFormatting xmlns:xm="http://schemas.microsoft.com/office/excel/2006/main">
          <x14:cfRule type="iconSet" priority="5" id="{6AAC93DF-D6C3-40A0-86FB-9C438B3164DA}">
            <x14:iconSet iconSet="3Symbols" custom="1">
              <x14:cfvo type="percent">
                <xm:f>0</xm:f>
              </x14:cfvo>
              <x14:cfvo type="num">
                <xm:f>1</xm:f>
              </x14:cfvo>
              <x14:cfvo type="num">
                <xm:f>5</xm:f>
              </x14:cfvo>
              <x14:cfIcon iconSet="3Symbols" iconId="2"/>
              <x14:cfIcon iconSet="3Symbols" iconId="1"/>
              <x14:cfIcon iconSet="3Symbols" iconId="0"/>
            </x14:iconSet>
          </x14:cfRule>
          <xm:sqref>F5</xm:sqref>
        </x14:conditionalFormatting>
        <x14:conditionalFormatting xmlns:xm="http://schemas.microsoft.com/office/excel/2006/main">
          <x14:cfRule type="iconSet" priority="4" id="{9341C2BA-EDC2-4898-8BCC-61A93902234B}">
            <x14:iconSet iconSet="3Symbols" custom="1">
              <x14:cfvo type="percent">
                <xm:f>0</xm:f>
              </x14:cfvo>
              <x14:cfvo type="num">
                <xm:f>50</xm:f>
              </x14:cfvo>
              <x14:cfvo type="num">
                <xm:f>90</xm:f>
              </x14:cfvo>
              <x14:cfIcon iconSet="3Symbols" iconId="0"/>
              <x14:cfIcon iconSet="3Symbols" iconId="1"/>
              <x14:cfIcon iconSet="3Symbols" iconId="2"/>
            </x14:iconSet>
          </x14:cfRule>
          <xm:sqref>F17</xm:sqref>
        </x14:conditionalFormatting>
        <x14:conditionalFormatting xmlns:xm="http://schemas.microsoft.com/office/excel/2006/main">
          <x14:cfRule type="iconSet" priority="3" id="{66B73BAD-1CE7-4122-9C13-077EE9927B95}">
            <x14:iconSet iconSet="3Symbols" custom="1">
              <x14:cfvo type="percent">
                <xm:f>0</xm:f>
              </x14:cfvo>
              <x14:cfvo type="num">
                <xm:f>25</xm:f>
              </x14:cfvo>
              <x14:cfvo type="num">
                <xm:f>30</xm:f>
              </x14:cfvo>
              <x14:cfIcon iconSet="3Symbols" iconId="2"/>
              <x14:cfIcon iconSet="3Symbols" iconId="1"/>
              <x14:cfIcon iconSet="3Symbols" iconId="0"/>
            </x14:iconSet>
          </x14:cfRule>
          <xm:sqref>F18</xm:sqref>
        </x14:conditionalFormatting>
        <x14:conditionalFormatting xmlns:xm="http://schemas.microsoft.com/office/excel/2006/main">
          <x14:cfRule type="iconSet" priority="2" id="{C5E1B870-0F3E-46D8-A2A3-11FB77322150}">
            <x14:iconSet iconSet="3Symbols" custom="1">
              <x14:cfvo type="percent">
                <xm:f>0</xm:f>
              </x14:cfvo>
              <x14:cfvo type="num">
                <xm:f>75</xm:f>
              </x14:cfvo>
              <x14:cfvo type="num">
                <xm:f>100</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3B8A6818-1D89-48CC-8CAF-3F148ABA1234}">
            <x14:iconSet iconSet="3Symbols" custom="1">
              <x14:cfvo type="percent">
                <xm:f>0</xm:f>
              </x14:cfvo>
              <x14:cfvo type="num" gte="0">
                <xm:f>100000</xm:f>
              </x14:cfvo>
              <x14:cfvo type="num">
                <xm:f>150000</xm:f>
              </x14:cfvo>
              <x14:cfIcon iconSet="3Symbols" iconId="2"/>
              <x14:cfIcon iconSet="3Symbols" iconId="1"/>
              <x14:cfIcon iconSet="3Symbols" iconId="0"/>
            </x14:iconSet>
          </x14:cfRule>
          <xm:sqref>F21:F26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76F14-A314-460A-80EB-84C3D390CD16}">
  <sheetPr>
    <pageSetUpPr fitToPage="1"/>
  </sheetPr>
  <dimension ref="A1:O29"/>
  <sheetViews>
    <sheetView showGridLines="0" zoomScale="85" zoomScaleNormal="69" zoomScaleSheetLayoutView="67" zoomScalePageLayoutView="70" workbookViewId="0">
      <selection activeCell="B23" sqref="B23:H23"/>
    </sheetView>
  </sheetViews>
  <sheetFormatPr baseColWidth="10" defaultColWidth="12" defaultRowHeight="18" x14ac:dyDescent="0.25"/>
  <cols>
    <col min="1" max="1" width="7.42578125" style="664" customWidth="1"/>
    <col min="2" max="2" width="20.7109375" style="664" customWidth="1"/>
    <col min="3" max="3" width="4.140625" style="664" customWidth="1"/>
    <col min="4" max="4" width="50.5703125" style="664" customWidth="1"/>
    <col min="5" max="5" width="16.42578125" style="664" customWidth="1"/>
    <col min="6" max="6" width="32" style="664" customWidth="1"/>
    <col min="7" max="7" width="1.85546875" style="664" customWidth="1"/>
    <col min="8" max="8" width="11.85546875" style="664" customWidth="1"/>
    <col min="9" max="9" width="16.140625" style="664" customWidth="1"/>
    <col min="10" max="10" width="1.28515625" style="664" customWidth="1"/>
    <col min="11" max="11" width="2.85546875" style="664" customWidth="1"/>
    <col min="12" max="12" width="7.42578125" style="664" customWidth="1"/>
    <col min="13" max="13" width="109.5703125" style="664" customWidth="1"/>
    <col min="14" max="14" width="46.85546875" style="664" customWidth="1"/>
    <col min="15" max="16384" width="12" style="664"/>
  </cols>
  <sheetData>
    <row r="1" spans="1:15" ht="63" customHeight="1" x14ac:dyDescent="0.25">
      <c r="A1" s="664" t="s">
        <v>600</v>
      </c>
      <c r="B1" s="784"/>
      <c r="C1" s="785"/>
      <c r="D1" s="672"/>
      <c r="G1" s="782"/>
      <c r="H1" s="782"/>
      <c r="I1" s="782"/>
      <c r="J1" s="672"/>
    </row>
    <row r="2" spans="1:15" ht="19.5" customHeight="1" x14ac:dyDescent="0.25">
      <c r="B2" s="664" t="s">
        <v>626</v>
      </c>
      <c r="H2" s="673" t="e">
        <f>FIND(" ",'Calculator (for experts)'!D6,1)</f>
        <v>#VALUE!</v>
      </c>
      <c r="I2" s="673" t="e">
        <f>FIND(",",'Calculator (for experts)'!D6,1)</f>
        <v>#VALUE!</v>
      </c>
      <c r="J2" s="673"/>
      <c r="K2" s="673" t="e">
        <f>MID(N2,I2+2,LEN(N2))</f>
        <v>#VALUE!</v>
      </c>
      <c r="L2" s="673"/>
      <c r="M2" s="673" t="e">
        <f>MID(K2,1,FIND(",",K2,1)-1)</f>
        <v>#VALUE!</v>
      </c>
      <c r="N2" s="674" t="str">
        <f>'Calculator (for experts)'!D6</f>
        <v>Patient</v>
      </c>
    </row>
    <row r="3" spans="1:15" ht="19.5" customHeight="1" x14ac:dyDescent="0.3">
      <c r="B3" s="664" t="s">
        <v>627</v>
      </c>
      <c r="C3" s="675"/>
      <c r="D3" s="675"/>
      <c r="E3" s="675"/>
      <c r="F3" s="676"/>
      <c r="G3" s="676"/>
      <c r="H3" s="676"/>
      <c r="I3" s="676"/>
      <c r="J3" s="676"/>
    </row>
    <row r="4" spans="1:15" ht="19.5" customHeight="1" x14ac:dyDescent="0.3">
      <c r="B4" s="664" t="s">
        <v>628</v>
      </c>
      <c r="H4" s="676"/>
      <c r="I4" s="677"/>
      <c r="J4" s="677"/>
    </row>
    <row r="5" spans="1:15" ht="19.5" customHeight="1" x14ac:dyDescent="0.25">
      <c r="B5" s="664" t="s">
        <v>601</v>
      </c>
      <c r="I5" s="678"/>
      <c r="J5" s="678"/>
      <c r="N5" s="673"/>
      <c r="O5" s="673"/>
    </row>
    <row r="6" spans="1:15" ht="19.5" customHeight="1" x14ac:dyDescent="0.25">
      <c r="B6" s="664" t="s">
        <v>629</v>
      </c>
      <c r="C6" s="679"/>
      <c r="N6" s="673"/>
      <c r="O6" s="673"/>
    </row>
    <row r="7" spans="1:15" ht="19.5" customHeight="1" x14ac:dyDescent="0.25">
      <c r="B7" s="664" t="s">
        <v>1</v>
      </c>
      <c r="C7" s="679"/>
      <c r="N7" s="680" t="str">
        <f>IF('Calculator (for experts)'!E14="N","","Nikotingebrauch")</f>
        <v>Nikotingebrauch</v>
      </c>
      <c r="O7" s="681">
        <f>IF(N7="","",1)</f>
        <v>1</v>
      </c>
    </row>
    <row r="8" spans="1:15" ht="18" customHeight="1" x14ac:dyDescent="0.25">
      <c r="C8" s="682"/>
      <c r="D8" s="683"/>
      <c r="E8" s="683"/>
      <c r="F8" s="737" t="str">
        <f>IF('2. Present Risk Factors'!E4="M","Herrn","Frau")</f>
        <v>Herrn</v>
      </c>
      <c r="H8" s="664" t="s">
        <v>1</v>
      </c>
      <c r="N8" s="680" t="str">
        <f>IF('Calculator (for experts)'!E13="N","","Blutzucker")</f>
        <v>Blutzucker</v>
      </c>
      <c r="O8" s="681">
        <f>IF(N8="","",1+O7)</f>
        <v>2</v>
      </c>
    </row>
    <row r="9" spans="1:15" ht="18" customHeight="1" x14ac:dyDescent="0.25">
      <c r="C9" s="684"/>
      <c r="F9" s="664" t="s">
        <v>1</v>
      </c>
      <c r="H9" s="685" t="s">
        <v>1</v>
      </c>
      <c r="K9" s="686"/>
      <c r="L9" s="686"/>
      <c r="N9" s="680" t="str">
        <f>IF('Calculator (for experts)'!E11&gt;=130,"Blutdruck","")</f>
        <v>Blutdruck</v>
      </c>
      <c r="O9" s="681">
        <f>IF(N9="","",1+MAX(O7:O8))</f>
        <v>3</v>
      </c>
    </row>
    <row r="10" spans="1:15" ht="18" customHeight="1" x14ac:dyDescent="0.25">
      <c r="H10" s="687" t="s">
        <v>1</v>
      </c>
      <c r="N10" s="680" t="str">
        <f>IF('Calculator (for experts)'!E15&gt;=1.8,"LDL Cholesterin","")</f>
        <v>LDL Cholesterin</v>
      </c>
      <c r="O10" s="681">
        <f>IF(N10="","",1+MAX(O7:O9))</f>
        <v>4</v>
      </c>
    </row>
    <row r="11" spans="1:15" ht="19.5" customHeight="1" x14ac:dyDescent="0.25">
      <c r="B11" s="786">
        <f ca="1">'Calculator (for experts)'!E7</f>
        <v>44073</v>
      </c>
      <c r="C11" s="786"/>
      <c r="D11" s="786"/>
      <c r="H11" s="688" t="s">
        <v>1</v>
      </c>
      <c r="N11" s="681" t="str">
        <f>IF('Calculator (for experts)'!O19&gt;25,"Übergewicht","")</f>
        <v/>
      </c>
      <c r="O11" s="681" t="str">
        <f>IF(N11="","",1+MAX(O7:O10))</f>
        <v/>
      </c>
    </row>
    <row r="12" spans="1:15" ht="19.5" customHeight="1" x14ac:dyDescent="0.25">
      <c r="N12" s="681" t="str">
        <f>IF(N9="","",N9&amp;" / ")&amp;IF(N10="","",N10&amp;" / ")&amp;IF(N7="","",N7&amp;" / ")&amp;IF(N8="","",N8&amp;" / ")&amp;IF(N11="","",N11&amp;" ")</f>
        <v xml:space="preserve">Blutdruck / LDL Cholesterin / Nikotingebrauch / Blutzucker / </v>
      </c>
      <c r="O12" s="689"/>
    </row>
    <row r="13" spans="1:15" ht="22.5" customHeight="1" x14ac:dyDescent="0.25">
      <c r="B13" s="709" t="str">
        <f>"Sehr "&amp;IF('2. Present Risk Factors'!E4="F","geehrte Frau ","geehrter Herr ")</f>
        <v xml:space="preserve">Sehr geehrter Herr </v>
      </c>
      <c r="D13" s="725" t="str">
        <f>'2. Present Risk Factors'!E2</f>
        <v>Patient</v>
      </c>
      <c r="N13" s="681" t="str">
        <f>IF(RIGHT(N12,2)="/ ",LEFT(N12,LEN(N12)-2),N12)</f>
        <v xml:space="preserve">Blutdruck / LDL Cholesterin / Nikotingebrauch / Blutzucker </v>
      </c>
      <c r="O13" s="689"/>
    </row>
    <row r="14" spans="1:15" ht="14.25" customHeight="1" x14ac:dyDescent="0.25">
      <c r="N14" s="673"/>
      <c r="O14" s="673"/>
    </row>
    <row r="15" spans="1:15" ht="18" customHeight="1" x14ac:dyDescent="0.25">
      <c r="B15" s="663" t="s">
        <v>602</v>
      </c>
      <c r="C15" s="690"/>
      <c r="D15" s="690"/>
      <c r="F15" s="688"/>
    </row>
    <row r="16" spans="1:15" ht="18" customHeight="1" x14ac:dyDescent="0.25">
      <c r="C16" s="690"/>
      <c r="D16" s="690"/>
    </row>
    <row r="17" spans="1:14" ht="18" customHeight="1" x14ac:dyDescent="0.25">
      <c r="C17" s="690"/>
      <c r="D17" s="690"/>
    </row>
    <row r="18" spans="1:14" x14ac:dyDescent="0.25">
      <c r="B18" s="664" t="s">
        <v>603</v>
      </c>
      <c r="C18" s="690"/>
      <c r="E18" s="691">
        <f>IF('Calculator (for experts)'!M33=0,'Calculator (for experts)'!H9,'Calculator (for experts)'!H11)</f>
        <v>95.427138089740623</v>
      </c>
      <c r="F18" s="678"/>
    </row>
    <row r="19" spans="1:14" x14ac:dyDescent="0.25">
      <c r="B19" s="664" t="s">
        <v>604</v>
      </c>
      <c r="E19" s="679" t="str">
        <f>N13</f>
        <v xml:space="preserve">Blutdruck / LDL Cholesterin / Nikotingebrauch / Blutzucker </v>
      </c>
      <c r="I19" s="690"/>
      <c r="J19" s="690"/>
      <c r="K19" s="690"/>
      <c r="L19" s="690"/>
    </row>
    <row r="20" spans="1:14" x14ac:dyDescent="0.25">
      <c r="A20" s="690"/>
      <c r="B20" s="664" t="s">
        <v>605</v>
      </c>
      <c r="E20" s="691">
        <f>IF('Calculator (for experts)'!M33=0,'Rechner Ideal'!F17,100*'Rechner Ideal'!L20)</f>
        <v>26.261717493821024</v>
      </c>
      <c r="F20" s="665"/>
    </row>
    <row r="21" spans="1:14" ht="23.25" customHeight="1" x14ac:dyDescent="0.25">
      <c r="A21" s="690"/>
      <c r="B21" s="664" t="str">
        <f>"Sie können Ihr Risiko um relative "&amp;TEXT((100-(E20/E18)*100),0)&amp;"% senken."</f>
        <v>Sie können Ihr Risiko um relative 72% senken.</v>
      </c>
      <c r="G21" s="690"/>
      <c r="H21" s="690"/>
      <c r="I21" s="690"/>
    </row>
    <row r="22" spans="1:14" s="692" customFormat="1" ht="36" customHeight="1" x14ac:dyDescent="0.25">
      <c r="A22" s="664"/>
      <c r="B22" s="738" t="str">
        <f>"Es müssen "&amp;TEXT((100/(E18-E20)),0)&amp;" Personen behandelt werden, um einen Krankheitsfall zu verhindern."</f>
        <v>Es müssen 1 Personen behandelt werden, um einen Krankheitsfall zu verhindern.</v>
      </c>
      <c r="C22" s="664"/>
      <c r="D22" s="664"/>
      <c r="E22" s="664"/>
      <c r="F22" s="664"/>
      <c r="G22" s="690"/>
      <c r="H22" s="690"/>
      <c r="I22" s="690"/>
      <c r="J22" s="690"/>
      <c r="K22" s="690"/>
      <c r="L22" s="690"/>
      <c r="M22" s="664"/>
      <c r="N22" s="664"/>
    </row>
    <row r="23" spans="1:14" s="692" customFormat="1" ht="90.75" customHeight="1" x14ac:dyDescent="0.25">
      <c r="A23" s="664"/>
      <c r="B23" s="788" t="s">
        <v>643</v>
      </c>
      <c r="C23" s="789"/>
      <c r="D23" s="789"/>
      <c r="E23" s="789"/>
      <c r="F23" s="789"/>
      <c r="G23" s="789"/>
      <c r="H23" s="789"/>
      <c r="I23" s="738"/>
      <c r="J23" s="738"/>
      <c r="K23" s="738"/>
      <c r="L23" s="693"/>
      <c r="M23" s="664"/>
      <c r="N23" s="664"/>
    </row>
    <row r="24" spans="1:14" s="692" customFormat="1" ht="19.5" customHeight="1" x14ac:dyDescent="0.25">
      <c r="A24" s="664"/>
      <c r="B24" s="664" t="s">
        <v>641</v>
      </c>
      <c r="C24" s="690"/>
      <c r="D24" s="690"/>
      <c r="E24" s="690"/>
      <c r="F24" s="769" t="s">
        <v>642</v>
      </c>
      <c r="G24" s="690"/>
      <c r="H24" s="690"/>
      <c r="I24" s="690"/>
      <c r="J24" s="690"/>
      <c r="K24" s="690"/>
      <c r="L24" s="690"/>
      <c r="M24" s="664"/>
      <c r="N24" s="664"/>
    </row>
    <row r="25" spans="1:14" s="692" customFormat="1" ht="17.45" customHeight="1" x14ac:dyDescent="0.25">
      <c r="A25" s="664"/>
      <c r="B25" s="664" t="s">
        <v>1</v>
      </c>
      <c r="C25" s="664"/>
      <c r="D25" s="664"/>
      <c r="E25" s="664"/>
      <c r="F25" s="664"/>
      <c r="G25" s="664"/>
      <c r="H25" s="664"/>
      <c r="I25" s="664"/>
      <c r="J25" s="664"/>
      <c r="K25" s="690"/>
      <c r="L25" s="690"/>
      <c r="M25" s="664"/>
      <c r="N25" s="664"/>
    </row>
    <row r="26" spans="1:14" s="692" customFormat="1" ht="17.45" customHeight="1" x14ac:dyDescent="0.25">
      <c r="A26" s="664"/>
      <c r="B26" s="664"/>
      <c r="C26" s="664"/>
      <c r="D26" s="664"/>
      <c r="E26" s="664"/>
      <c r="F26" s="664"/>
      <c r="G26" s="664"/>
      <c r="H26" s="664"/>
      <c r="I26" s="664"/>
      <c r="J26" s="664"/>
      <c r="K26" s="690"/>
      <c r="L26" s="690"/>
      <c r="M26" s="664"/>
      <c r="N26" s="664"/>
    </row>
    <row r="27" spans="1:14" s="692" customFormat="1" ht="23.25" customHeight="1" x14ac:dyDescent="0.35">
      <c r="A27" s="664"/>
      <c r="B27" s="787" t="s">
        <v>606</v>
      </c>
      <c r="C27" s="787"/>
      <c r="D27" s="787"/>
      <c r="E27" s="787"/>
      <c r="F27" s="787"/>
      <c r="G27" s="787"/>
      <c r="H27" s="787"/>
      <c r="I27" s="787"/>
      <c r="J27" s="787"/>
      <c r="K27" s="787"/>
      <c r="L27" s="694"/>
      <c r="M27" s="664"/>
      <c r="N27" s="664"/>
    </row>
    <row r="28" spans="1:14" s="692" customFormat="1" ht="116.25" customHeight="1" x14ac:dyDescent="0.25">
      <c r="A28" s="664"/>
      <c r="B28" s="782"/>
      <c r="C28" s="783"/>
      <c r="D28" s="783"/>
      <c r="E28" s="695"/>
      <c r="F28" s="695"/>
      <c r="G28" s="695"/>
      <c r="H28" s="695"/>
      <c r="I28" s="695"/>
      <c r="J28" s="695"/>
      <c r="K28" s="695"/>
      <c r="L28" s="695"/>
      <c r="M28" s="664"/>
      <c r="N28" s="664"/>
    </row>
    <row r="29" spans="1:14" s="692" customFormat="1" ht="23.25" customHeight="1" x14ac:dyDescent="0.25">
      <c r="A29" s="664"/>
      <c r="B29" s="672"/>
      <c r="C29" s="672"/>
      <c r="D29" s="672"/>
      <c r="E29" s="695"/>
      <c r="F29" s="695"/>
      <c r="G29" s="695"/>
      <c r="H29" s="695"/>
      <c r="I29" s="695"/>
      <c r="J29" s="695"/>
      <c r="K29" s="696"/>
      <c r="L29" s="696"/>
      <c r="M29" s="664"/>
      <c r="N29" s="664"/>
    </row>
  </sheetData>
  <dataConsolidate/>
  <mergeCells count="6">
    <mergeCell ref="B28:D28"/>
    <mergeCell ref="B1:C1"/>
    <mergeCell ref="G1:I1"/>
    <mergeCell ref="B11:D11"/>
    <mergeCell ref="B27:K27"/>
    <mergeCell ref="B23:H23"/>
  </mergeCells>
  <conditionalFormatting sqref="C24">
    <cfRule type="cellIs" dxfId="6" priority="38" stopIfTrue="1" operator="notEqual">
      <formula>""</formula>
    </cfRule>
  </conditionalFormatting>
  <hyperlinks>
    <hyperlink ref="F24" r:id="rId1" xr:uid="{0CF0FAF9-BD3E-4A58-B377-61FE3DE4BF4E}"/>
  </hyperlinks>
  <printOptions horizontalCentered="1"/>
  <pageMargins left="0.15748031496062992" right="0.15748031496062992" top="0.31496062992125984" bottom="0" header="0.31496062992125984" footer="0"/>
  <pageSetup paperSize="9" scale="61" fitToHeight="0" orientation="portrait" r:id="rId2"/>
  <headerFooter alignWithMargins="0"/>
  <ignoredErrors>
    <ignoredError sqref="I2 K2 M2" evalError="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50447-62DF-4285-A52D-35720F41B016}">
  <dimension ref="D1:I21"/>
  <sheetViews>
    <sheetView topLeftCell="B1" zoomScale="153" workbookViewId="0">
      <selection activeCell="J19" sqref="J19"/>
    </sheetView>
  </sheetViews>
  <sheetFormatPr baseColWidth="10" defaultRowHeight="15" x14ac:dyDescent="0.25"/>
  <cols>
    <col min="1" max="16384" width="11.42578125" style="168"/>
  </cols>
  <sheetData>
    <row r="1" spans="4:9" ht="26.25" x14ac:dyDescent="0.25">
      <c r="D1" s="790" t="s">
        <v>631</v>
      </c>
      <c r="E1" s="791"/>
      <c r="F1" s="791"/>
      <c r="G1" s="791"/>
      <c r="H1" s="791"/>
    </row>
    <row r="3" spans="4:9" x14ac:dyDescent="0.25">
      <c r="D3" s="728" t="s">
        <v>632</v>
      </c>
    </row>
    <row r="5" spans="4:9" x14ac:dyDescent="0.25">
      <c r="D5" s="168" t="str">
        <f>'Calculator (for experts)'!D28</f>
        <v>Cirrhosis with portal hypertension (y/n)</v>
      </c>
      <c r="I5" s="168" t="s">
        <v>539</v>
      </c>
    </row>
    <row r="6" spans="4:9" x14ac:dyDescent="0.25">
      <c r="D6" s="168" t="str">
        <f>'Calculator (for experts)'!D29</f>
        <v>Active cancer  with diagnoses in last 12 months (y/n)</v>
      </c>
      <c r="I6" s="168" t="s">
        <v>539</v>
      </c>
    </row>
    <row r="7" spans="4:9" x14ac:dyDescent="0.25">
      <c r="D7" s="168" t="str">
        <f>'Calculator (for experts)'!D30</f>
        <v>Anemia ? (enter Hemoglobin value in g/L)</v>
      </c>
    </row>
    <row r="8" spans="4:9" x14ac:dyDescent="0.25">
      <c r="D8" s="168" t="str">
        <f>'Calculator (for experts)'!D31</f>
        <v>Low platelet count &lt; 100 x 10^9 (y/n)</v>
      </c>
      <c r="I8" s="168" t="s">
        <v>539</v>
      </c>
    </row>
    <row r="9" spans="4:9" x14ac:dyDescent="0.25">
      <c r="D9" s="168" t="str">
        <f>'Calculator (for experts)'!D32</f>
        <v>Stroke, ICH, bAVN (y/1/n)</v>
      </c>
      <c r="I9" s="168" t="s">
        <v>539</v>
      </c>
    </row>
    <row r="10" spans="4:9" x14ac:dyDescent="0.25">
      <c r="D10" s="168" t="str">
        <f>'Calculator (for experts)'!D33</f>
        <v>Bleeding diathesis (y/n)</v>
      </c>
      <c r="I10" s="168" t="s">
        <v>539</v>
      </c>
    </row>
    <row r="11" spans="4:9" x14ac:dyDescent="0.25">
      <c r="D11" s="168" t="str">
        <f>'Calculator (for experts)'!D34</f>
        <v>Prior bleedung or transfusion (y/1/n)</v>
      </c>
      <c r="I11" s="168" t="s">
        <v>539</v>
      </c>
    </row>
    <row r="12" spans="4:9" x14ac:dyDescent="0.25">
      <c r="D12" s="168" t="str">
        <f>'Calculator (for experts)'!D35</f>
        <v>Oral anticoagulation (y/n)</v>
      </c>
      <c r="I12" s="168" t="s">
        <v>539</v>
      </c>
    </row>
    <row r="13" spans="4:9" x14ac:dyDescent="0.25">
      <c r="D13" s="168" t="str">
        <f>'Calculator (for experts)'!D36</f>
        <v>NSAIDs, steroids (y/n)</v>
      </c>
      <c r="I13" s="168" t="s">
        <v>539</v>
      </c>
    </row>
    <row r="14" spans="4:9" x14ac:dyDescent="0.25">
      <c r="D14" s="168" t="str">
        <f>'Calculator (for experts)'!D37</f>
        <v>Planned surgery on DAPT, recent traum/surgery (y/n)</v>
      </c>
      <c r="I14" s="168" t="s">
        <v>539</v>
      </c>
    </row>
    <row r="15" spans="4:9" x14ac:dyDescent="0.25">
      <c r="D15" s="168" t="str">
        <f>'Calculator (for experts)'!D38</f>
        <v>Antiphospholidpid-Syndrom (APS)</v>
      </c>
      <c r="I15" s="168" t="s">
        <v>539</v>
      </c>
    </row>
    <row r="16" spans="4:9" x14ac:dyDescent="0.25">
      <c r="D16" s="168" t="s">
        <v>1</v>
      </c>
    </row>
    <row r="17" spans="4:7" x14ac:dyDescent="0.25">
      <c r="D17" s="728" t="s">
        <v>646</v>
      </c>
    </row>
    <row r="18" spans="4:7" x14ac:dyDescent="0.25">
      <c r="D18" s="728" t="s">
        <v>636</v>
      </c>
    </row>
    <row r="20" spans="4:7" x14ac:dyDescent="0.25">
      <c r="D20" s="168" t="s">
        <v>647</v>
      </c>
      <c r="G20" s="771" t="s">
        <v>648</v>
      </c>
    </row>
    <row r="21" spans="4:7" x14ac:dyDescent="0.25">
      <c r="D21" s="168" t="s">
        <v>649</v>
      </c>
      <c r="G21" s="771" t="s">
        <v>650</v>
      </c>
    </row>
  </sheetData>
  <mergeCells count="1">
    <mergeCell ref="D1:H1"/>
  </mergeCells>
  <hyperlinks>
    <hyperlink ref="G20" r:id="rId1" xr:uid="{EA5B0545-90F6-4B24-963A-947C4CF521AA}"/>
    <hyperlink ref="G21" r:id="rId2" xr:uid="{A224FCAE-DBC9-4DDF-9AD5-D33D0BC379BF}"/>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A8670-1298-4798-B6F0-DDAD5886B27C}">
  <sheetPr codeName="Tabelle1"/>
  <dimension ref="A1:BB253"/>
  <sheetViews>
    <sheetView topLeftCell="A10" zoomScale="75" zoomScaleNormal="75" workbookViewId="0">
      <selection activeCell="H28" sqref="H28"/>
    </sheetView>
  </sheetViews>
  <sheetFormatPr baseColWidth="10" defaultColWidth="11.42578125" defaultRowHeight="15.75" x14ac:dyDescent="0.25"/>
  <cols>
    <col min="1" max="1" width="4.7109375" style="463" customWidth="1"/>
    <col min="2" max="2" width="5.5703125" style="463" customWidth="1"/>
    <col min="3" max="3" width="21.7109375" style="463" customWidth="1"/>
    <col min="4" max="4" width="70.85546875" style="598" customWidth="1"/>
    <col min="5" max="5" width="14.42578125" style="52" customWidth="1"/>
    <col min="6" max="6" width="11.28515625" style="697" customWidth="1"/>
    <col min="7" max="7" width="83.28515625" style="172" customWidth="1"/>
    <col min="8" max="8" width="17.28515625" style="50" customWidth="1"/>
    <col min="9" max="9" width="133.140625" style="463" customWidth="1"/>
    <col min="10" max="10" width="22.5703125" style="463" customWidth="1"/>
    <col min="11" max="11" width="11.42578125" style="463" customWidth="1"/>
    <col min="12" max="12" width="65.28515625" style="463" customWidth="1"/>
    <col min="13" max="14" width="6.28515625" style="463" customWidth="1"/>
    <col min="15" max="15" width="32.7109375" style="463" customWidth="1"/>
    <col min="16" max="16" width="30.42578125" style="463" customWidth="1"/>
    <col min="17" max="17" width="32" style="463" customWidth="1"/>
    <col min="18" max="18" width="27.7109375" style="463" customWidth="1"/>
    <col min="19" max="19" width="31" style="463" customWidth="1"/>
    <col min="20" max="20" width="20.5703125" style="463" customWidth="1"/>
    <col min="21" max="21" width="13.7109375" style="463" customWidth="1"/>
    <col min="22" max="22" width="94.28515625" style="463" customWidth="1"/>
    <col min="23" max="27" width="11.42578125" style="463" customWidth="1"/>
    <col min="28" max="35" width="9.5703125" style="463" customWidth="1"/>
    <col min="36" max="36" width="27.5703125" style="463" customWidth="1"/>
    <col min="37" max="37" width="56.28515625" style="463" customWidth="1"/>
    <col min="38" max="56" width="11.42578125" style="463" customWidth="1"/>
    <col min="57" max="16384" width="11.42578125" style="463"/>
  </cols>
  <sheetData>
    <row r="1" spans="2:54" ht="16.5" thickBot="1" x14ac:dyDescent="0.3"/>
    <row r="2" spans="2:54" ht="108.75" customHeight="1" thickBot="1" x14ac:dyDescent="0.25">
      <c r="D2" s="794" t="s">
        <v>612</v>
      </c>
      <c r="E2" s="795"/>
      <c r="G2" s="794" t="s">
        <v>599</v>
      </c>
      <c r="H2" s="795"/>
      <c r="M2" s="464"/>
      <c r="N2" s="464"/>
      <c r="O2" s="797" t="str">
        <f>IF(AL14="N","RESULTS WITH FRAMINGHAM-CVD","")</f>
        <v>RESULTS WITH FRAMINGHAM-CVD</v>
      </c>
      <c r="P2" s="797"/>
      <c r="Q2" s="616"/>
      <c r="R2" s="797" t="str">
        <f>IF(AL14="N","COMPARE TO SCORE-CVD","")</f>
        <v>COMPARE TO SCORE-CVD</v>
      </c>
      <c r="S2" s="797"/>
    </row>
    <row r="3" spans="2:54" ht="28.5" customHeight="1" thickBot="1" x14ac:dyDescent="0.25">
      <c r="D3" s="463"/>
      <c r="E3" s="463"/>
      <c r="G3" s="226"/>
      <c r="M3" s="464"/>
      <c r="N3" s="464"/>
      <c r="O3" s="660"/>
      <c r="P3" s="660"/>
      <c r="Q3" s="660"/>
      <c r="R3" s="660"/>
      <c r="S3" s="660"/>
    </row>
    <row r="4" spans="2:54" s="465" customFormat="1" ht="65.25" customHeight="1" thickBot="1" x14ac:dyDescent="0.25">
      <c r="B4" s="463"/>
      <c r="C4" s="463"/>
      <c r="D4" s="794" t="s">
        <v>559</v>
      </c>
      <c r="E4" s="795"/>
      <c r="F4" s="697"/>
      <c r="G4" s="794" t="s">
        <v>562</v>
      </c>
      <c r="H4" s="795"/>
      <c r="I4" s="800"/>
      <c r="J4" s="800"/>
      <c r="K4" s="566"/>
      <c r="L4" s="799" t="s">
        <v>1</v>
      </c>
      <c r="M4" s="799"/>
      <c r="N4" s="633"/>
      <c r="O4" s="471" t="str">
        <f>IF(AL14="N","FRAMINGHAM (%)","")</f>
        <v>FRAMINGHAM (%)</v>
      </c>
      <c r="P4" s="471" t="str">
        <f>IF(AL14="N","FRAMINGHAM","")</f>
        <v>FRAMINGHAM</v>
      </c>
      <c r="Q4" s="471"/>
      <c r="R4" s="471" t="str">
        <f>IF(AL14="N","SCORE RISK (%)","")</f>
        <v>SCORE RISK (%)</v>
      </c>
      <c r="S4" s="471" t="str">
        <f>IF(AL14="N","SCORE RISK","")</f>
        <v>SCORE RISK</v>
      </c>
      <c r="T4" s="463"/>
      <c r="U4" s="463"/>
      <c r="V4" s="463"/>
      <c r="W4" s="463"/>
      <c r="X4" s="612" t="s">
        <v>534</v>
      </c>
      <c r="Y4" s="463"/>
      <c r="Z4" s="463"/>
      <c r="AA4" s="463"/>
      <c r="AB4" s="463"/>
      <c r="AC4" s="463"/>
      <c r="AD4" s="463"/>
      <c r="AE4" s="463"/>
      <c r="AF4" s="463"/>
      <c r="AG4" s="463"/>
      <c r="AH4" s="463"/>
      <c r="AI4" s="463"/>
      <c r="AJ4" s="463"/>
      <c r="AK4" s="463"/>
      <c r="AL4" s="463"/>
      <c r="AM4" s="463"/>
      <c r="AN4" s="463"/>
      <c r="AO4" s="463"/>
      <c r="AP4" s="463"/>
      <c r="AQ4" s="463"/>
      <c r="AR4" s="463"/>
      <c r="AS4" s="463"/>
      <c r="AT4" s="463"/>
      <c r="AU4" s="463"/>
      <c r="AV4" s="463"/>
      <c r="AW4" s="463"/>
      <c r="AX4" s="463"/>
      <c r="AY4" s="463"/>
      <c r="AZ4" s="463"/>
      <c r="BA4" s="463"/>
      <c r="BB4" s="463"/>
    </row>
    <row r="5" spans="2:54" ht="18" customHeight="1" x14ac:dyDescent="0.25">
      <c r="D5" s="796"/>
      <c r="E5" s="796"/>
      <c r="F5" s="698"/>
      <c r="H5" s="470"/>
      <c r="L5" s="799" t="str">
        <f>IF(AL14="N","CARDIOVASCULAR RISK IN 10 YEARS IN %","")</f>
        <v>CARDIOVASCULAR RISK IN 10 YEARS IN %</v>
      </c>
      <c r="M5" s="799"/>
      <c r="N5" s="633"/>
      <c r="O5" s="620">
        <f>IF(AL14="N",R22*(100*IF(E9="M",(1-POWER(0.88936,EXP((3.06117*LN(E10)+1.1237*LN(E15*38.66)-0.93263*LN(E16*38.66)+(IF(E12="N",1.93303*LN(E11),1.99881*LN(E11)))+(IF(E14="N",0,0.65451))+(IF(E13="N",0,0.57367)))-23.9802))),(1-POWER(0.95012,EXP((2.32888*LN(E10)+1.20904*LN(E15*38.66)-0.70833*LN(E16*38.66)+(IF(E12="N",2.76157*LN(E11),2.82263*LN(E11)))+(IF(E14="N",0,0.52873))+(IF(E13="N",0,0.69154)))-26.1931))))),"")</f>
        <v>76.150702012561993</v>
      </c>
      <c r="P5" s="471" t="str">
        <f>IF(AL14="N",IF(O5&lt;O26,"LOW RISK",IF(O5&gt;=O27,"HIGH RISK","MODERATE RISK")),"")</f>
        <v>HIGH RISK</v>
      </c>
      <c r="Q5" s="471"/>
      <c r="R5" s="620">
        <f>((1-((POWER((EXP(-(EXP((IF(E9="M",-22.1,-29.8)))*(POWER(E10-10,IF(E9="M",4.71,6.36)))))),EXP((0.24*(E15-6))+(0.018*(E11-120))+(0.71*(IF(E14="N",0,1))))))/(POWER((EXP(-(EXP((IF(E9="M",-22.1,-29.8)))*(POWER(E10-20,IF(E9="M",4.71,6.36)))))),EXP((0.24*(E15-6))+(0.018*(E11-120))+(0.71*(IF(E14="N",0,1))))))))*100)+((1-((POWER((EXP(-(EXP((IF(E9="M",-26.7,-31)))*(POWER(E10-10,IF(E9="M",5.64,6.62)))))),EXP((0.02*(E15-6))+(0.022*(E11-120))+(0.63*(IF(E14="N",0,1))))))/(POWER((EXP(-(EXP((IF(E9="M",-26.7,-31)))*(POWER(E10-20,IF(E9="M",5.64,6.62)))))),EXP((0.02*(E15-6))+(0.022*(E11-120))+(0.63*(IF(E14="N",0,1))))))))*100)</f>
        <v>9.8655358666197017</v>
      </c>
      <c r="S5" s="471" t="str">
        <f>IF(AL14="N",IF(R5&lt;1,"LOW RISK",IF(R5&gt;=5,"HIGH RISK","MODERATE RISK")),"")</f>
        <v>HIGH RISK</v>
      </c>
      <c r="T5" s="471" t="str">
        <f>IF(AL14="N","SCORE CVD","")</f>
        <v>SCORE CVD</v>
      </c>
    </row>
    <row r="6" spans="2:54" ht="18" customHeight="1" x14ac:dyDescent="0.25">
      <c r="D6" s="802" t="str">
        <f>'2. Present Risk Factors'!E2</f>
        <v>Patient</v>
      </c>
      <c r="E6" s="802"/>
      <c r="F6" s="698"/>
      <c r="G6" s="803" t="str">
        <f>D50</f>
        <v>This patient is categorized as very high risk by FRAMINGHAM</v>
      </c>
      <c r="H6" s="803"/>
      <c r="L6" s="799" t="s">
        <v>578</v>
      </c>
      <c r="M6" s="799" t="str">
        <f>IF(AL14="N","","10 YEAR RISK IN SECONDARY PREVENTION")</f>
        <v/>
      </c>
      <c r="N6" s="481"/>
      <c r="O6" s="620">
        <f>(Rechner!K20*100)*1.25</f>
        <v>95.427138089740623</v>
      </c>
      <c r="P6" s="471"/>
      <c r="Q6" s="471"/>
      <c r="R6" s="620"/>
      <c r="S6" s="471" t="str">
        <f>IF(AL14="N",IF(R6&lt;O26,"LOW RISK",IF(R6&gt;=O27,"HIGH RISK","MODERATE RISK")),"")</f>
        <v>LOW RISK</v>
      </c>
      <c r="T6" s="471" t="str">
        <f>IF(AL14="N","SMB CVD","")</f>
        <v>SMB CVD</v>
      </c>
      <c r="X6" s="609">
        <v>20</v>
      </c>
      <c r="Y6" s="610">
        <f>O5</f>
        <v>76.150702012561993</v>
      </c>
      <c r="Z6" s="610">
        <f>R5</f>
        <v>9.8655358666197017</v>
      </c>
    </row>
    <row r="7" spans="2:54" ht="21" customHeight="1" x14ac:dyDescent="0.2">
      <c r="D7" s="658" t="s">
        <v>523</v>
      </c>
      <c r="E7" s="615">
        <f ca="1">TODAY()</f>
        <v>44073</v>
      </c>
      <c r="F7" s="699"/>
      <c r="G7" s="803" t="str">
        <f>IF(M33=20,"",IF(OR(H9&lt;10,H10&lt;5),IF(E17&gt;3,"Consider carotid plaque imaging or coronary calcium scanning",""),""))</f>
        <v/>
      </c>
      <c r="H7" s="803"/>
      <c r="M7" s="559" t="s">
        <v>1</v>
      </c>
      <c r="N7" s="559"/>
      <c r="O7" s="559" t="s">
        <v>1</v>
      </c>
      <c r="P7" s="559" t="s">
        <v>1</v>
      </c>
      <c r="R7" s="559" t="s">
        <v>1</v>
      </c>
      <c r="X7" s="611"/>
      <c r="Y7" s="621" t="s">
        <v>532</v>
      </c>
      <c r="Z7" s="621" t="s">
        <v>533</v>
      </c>
      <c r="AA7" s="463" t="s">
        <v>531</v>
      </c>
      <c r="AB7" s="463" t="s">
        <v>311</v>
      </c>
      <c r="AC7" s="463" t="s">
        <v>363</v>
      </c>
      <c r="AD7" s="463" t="s">
        <v>312</v>
      </c>
      <c r="AE7" s="463" t="s">
        <v>327</v>
      </c>
      <c r="AF7" s="463" t="s">
        <v>357</v>
      </c>
      <c r="AG7" s="463" t="s">
        <v>356</v>
      </c>
      <c r="AH7" s="463" t="s">
        <v>358</v>
      </c>
      <c r="AI7" s="463" t="s">
        <v>41</v>
      </c>
    </row>
    <row r="8" spans="2:54" ht="18" customHeight="1" x14ac:dyDescent="0.2">
      <c r="D8" s="801" t="s">
        <v>570</v>
      </c>
      <c r="E8" s="801"/>
      <c r="F8" s="648"/>
      <c r="G8" s="617" t="s">
        <v>538</v>
      </c>
      <c r="R8" s="50"/>
      <c r="S8" s="466"/>
      <c r="T8" s="467"/>
      <c r="Y8" s="463">
        <v>45.394677796448448</v>
      </c>
      <c r="Z8" s="463">
        <v>9.0750665128684567</v>
      </c>
      <c r="AA8" s="463">
        <v>1</v>
      </c>
      <c r="AB8" s="463" t="s">
        <v>166</v>
      </c>
      <c r="AC8" s="463">
        <v>65</v>
      </c>
      <c r="AD8" s="463">
        <v>140</v>
      </c>
      <c r="AE8" s="463" t="s">
        <v>167</v>
      </c>
      <c r="AF8" s="463" t="s">
        <v>167</v>
      </c>
      <c r="AG8" s="463" t="s">
        <v>167</v>
      </c>
      <c r="AH8" s="463">
        <v>9.1999999999999993</v>
      </c>
      <c r="AI8" s="463">
        <v>0.9</v>
      </c>
    </row>
    <row r="9" spans="2:54" ht="18" customHeight="1" x14ac:dyDescent="0.2">
      <c r="D9" s="658" t="s">
        <v>541</v>
      </c>
      <c r="E9" s="604" t="str">
        <f>'2. Present Risk Factors'!E4</f>
        <v>M</v>
      </c>
      <c r="F9" s="659"/>
      <c r="G9" s="573" t="str">
        <f t="shared" ref="G9:H11" si="0">D44</f>
        <v>FRAMINGHAM Risk in Primary Prevention</v>
      </c>
      <c r="H9" s="603">
        <f t="shared" si="0"/>
        <v>76.150702012561993</v>
      </c>
      <c r="K9" s="559" t="s">
        <v>1</v>
      </c>
      <c r="R9" s="798"/>
      <c r="S9" s="798"/>
      <c r="Y9" s="463">
        <v>14.631844930215731</v>
      </c>
      <c r="Z9" s="463">
        <v>6.8417003570775403E-2</v>
      </c>
      <c r="AA9" s="463">
        <v>2</v>
      </c>
      <c r="AB9" s="463" t="s">
        <v>173</v>
      </c>
      <c r="AC9" s="463">
        <v>40</v>
      </c>
      <c r="AD9" s="463">
        <v>140</v>
      </c>
      <c r="AE9" s="463" t="s">
        <v>525</v>
      </c>
      <c r="AF9" s="463" t="s">
        <v>525</v>
      </c>
      <c r="AG9" s="463" t="s">
        <v>167</v>
      </c>
      <c r="AH9" s="463">
        <v>6.1</v>
      </c>
      <c r="AI9" s="463">
        <v>0.9</v>
      </c>
    </row>
    <row r="10" spans="2:54" ht="18" customHeight="1" x14ac:dyDescent="0.2">
      <c r="D10" s="724" t="s">
        <v>363</v>
      </c>
      <c r="E10" s="602">
        <f>'1. Determine Age'!E7</f>
        <v>68</v>
      </c>
      <c r="F10" s="659"/>
      <c r="G10" s="573" t="str">
        <f t="shared" si="0"/>
        <v>SCORE Risk in Primary and Secondary Prevention</v>
      </c>
      <c r="H10" s="603">
        <f>R5</f>
        <v>9.8655358666197017</v>
      </c>
      <c r="Y10" s="463">
        <v>83.507197802246111</v>
      </c>
      <c r="Z10" s="463">
        <v>10.229224327117404</v>
      </c>
      <c r="AA10" s="463">
        <v>3</v>
      </c>
      <c r="AB10" s="463" t="s">
        <v>166</v>
      </c>
      <c r="AC10" s="463">
        <v>65</v>
      </c>
      <c r="AD10" s="463">
        <v>140</v>
      </c>
      <c r="AE10" s="463" t="s">
        <v>525</v>
      </c>
      <c r="AF10" s="463" t="s">
        <v>525</v>
      </c>
      <c r="AG10" s="463" t="s">
        <v>525</v>
      </c>
      <c r="AH10" s="463">
        <v>6.1</v>
      </c>
      <c r="AI10" s="463">
        <v>0.9</v>
      </c>
    </row>
    <row r="11" spans="2:54" ht="18" customHeight="1" x14ac:dyDescent="0.25">
      <c r="D11" s="658" t="s">
        <v>312</v>
      </c>
      <c r="E11" s="605">
        <f>'2. Present Risk Factors'!E5</f>
        <v>140</v>
      </c>
      <c r="F11" s="659"/>
      <c r="G11" s="573" t="str">
        <f t="shared" si="0"/>
        <v>CVD Risk in Secondary Prevention (TNT Study)</v>
      </c>
      <c r="H11" s="603">
        <f t="shared" si="0"/>
        <v>95.427138089740623</v>
      </c>
      <c r="L11" s="472" t="s">
        <v>318</v>
      </c>
      <c r="M11" s="473"/>
      <c r="N11" s="473"/>
      <c r="O11" s="474">
        <f>Rechner!Q20</f>
        <v>4.1165690602923011</v>
      </c>
      <c r="P11" s="469" t="s">
        <v>443</v>
      </c>
      <c r="Q11" s="469" t="s">
        <v>60</v>
      </c>
      <c r="Y11" s="463">
        <v>31.703732962244736</v>
      </c>
      <c r="Z11" s="463">
        <v>1.0518346817410706</v>
      </c>
      <c r="AA11" s="463">
        <v>4</v>
      </c>
      <c r="AB11" s="463" t="s">
        <v>166</v>
      </c>
      <c r="AC11" s="463">
        <v>40</v>
      </c>
      <c r="AD11" s="463">
        <v>160</v>
      </c>
      <c r="AE11" s="463" t="s">
        <v>167</v>
      </c>
      <c r="AF11" s="463" t="s">
        <v>525</v>
      </c>
      <c r="AG11" s="463" t="s">
        <v>525</v>
      </c>
      <c r="AH11" s="463">
        <v>6.1</v>
      </c>
      <c r="AI11" s="463">
        <v>0.9</v>
      </c>
    </row>
    <row r="12" spans="2:54" ht="18" customHeight="1" x14ac:dyDescent="0.25">
      <c r="D12" s="658" t="s">
        <v>543</v>
      </c>
      <c r="E12" s="605" t="str">
        <f>'2. Present Risk Factors'!E6</f>
        <v>Y</v>
      </c>
      <c r="F12" s="659"/>
      <c r="G12" s="573" t="str">
        <f>D48</f>
        <v>FRAMINGHAM Risk ideal (BP 120, Cholesterol 4.0, HDL 1.5)</v>
      </c>
      <c r="H12" s="603">
        <f>IF(AL14="Y","",E48)</f>
        <v>11.803050239041191</v>
      </c>
      <c r="L12" s="472" t="s">
        <v>319</v>
      </c>
      <c r="M12" s="473"/>
      <c r="N12" s="473"/>
      <c r="O12" s="474">
        <f>Rechner!R20</f>
        <v>3.1665915848402322</v>
      </c>
      <c r="P12" s="622">
        <f>Rechner!R22</f>
        <v>33.87396447484393</v>
      </c>
      <c r="Q12" s="469">
        <f>Rechner!R24</f>
        <v>1.0149999999999999</v>
      </c>
      <c r="Y12" s="463">
        <v>21.147075866623901</v>
      </c>
      <c r="Z12" s="463">
        <v>4.3192641193546493</v>
      </c>
      <c r="AA12" s="463">
        <v>5</v>
      </c>
      <c r="AB12" s="463" t="s">
        <v>173</v>
      </c>
      <c r="AC12" s="463">
        <v>65</v>
      </c>
      <c r="AD12" s="463">
        <v>140</v>
      </c>
      <c r="AE12" s="463" t="s">
        <v>525</v>
      </c>
      <c r="AF12" s="463" t="s">
        <v>167</v>
      </c>
      <c r="AG12" s="463" t="s">
        <v>167</v>
      </c>
      <c r="AH12" s="463">
        <v>9.1999999999999993</v>
      </c>
      <c r="AI12" s="463">
        <v>1.9</v>
      </c>
    </row>
    <row r="13" spans="2:54" ht="18" customHeight="1" x14ac:dyDescent="0.25">
      <c r="D13" s="658" t="s">
        <v>544</v>
      </c>
      <c r="E13" s="605" t="str">
        <f>'2. Present Risk Factors'!E7</f>
        <v>Y</v>
      </c>
      <c r="F13" s="659"/>
      <c r="G13" s="573" t="str">
        <f>IF(AL14="N",D49,"")</f>
        <v>Potential für Risikoreduktion (in %) in der Primärprävention</v>
      </c>
      <c r="H13" s="603">
        <f>E49</f>
        <v>84.500405213475062</v>
      </c>
      <c r="L13" s="472" t="s">
        <v>436</v>
      </c>
      <c r="M13" s="473"/>
      <c r="N13" s="473"/>
      <c r="O13" s="474">
        <f>Rechner!O20</f>
        <v>2.8301412289509575</v>
      </c>
      <c r="P13" s="622">
        <f>Rechner!O34</f>
        <v>33.958930385746513</v>
      </c>
      <c r="Q13" s="469">
        <f>Rechner!R24</f>
        <v>1.0149999999999999</v>
      </c>
      <c r="Y13" s="463">
        <v>40.77021167479942</v>
      </c>
      <c r="Z13" s="463">
        <v>7.7867201874190384</v>
      </c>
      <c r="AA13" s="463">
        <v>6</v>
      </c>
      <c r="AB13" s="463" t="s">
        <v>173</v>
      </c>
      <c r="AC13" s="463">
        <v>65</v>
      </c>
      <c r="AD13" s="463">
        <v>160</v>
      </c>
      <c r="AE13" s="463" t="s">
        <v>167</v>
      </c>
      <c r="AF13" s="463" t="s">
        <v>525</v>
      </c>
      <c r="AG13" s="463" t="s">
        <v>525</v>
      </c>
      <c r="AH13" s="463">
        <v>6.1</v>
      </c>
      <c r="AI13" s="463">
        <v>1.9</v>
      </c>
    </row>
    <row r="14" spans="2:54" ht="18" customHeight="1" x14ac:dyDescent="0.2">
      <c r="D14" s="658" t="s">
        <v>545</v>
      </c>
      <c r="E14" s="605" t="str">
        <f>'2. Present Risk Factors'!E8</f>
        <v>Y</v>
      </c>
      <c r="F14" s="659"/>
      <c r="G14" s="573" t="str">
        <f>D60</f>
        <v>FRAMINGHAM risk in your patient when adhering to guides</v>
      </c>
      <c r="H14" s="596">
        <f>IFERROR(E60,"")</f>
        <v>35.029322925778516</v>
      </c>
      <c r="L14" s="559" t="s">
        <v>1</v>
      </c>
      <c r="O14" s="469" t="s">
        <v>60</v>
      </c>
      <c r="P14" s="469" t="s">
        <v>442</v>
      </c>
      <c r="Q14" s="469" t="s">
        <v>60</v>
      </c>
      <c r="Y14" s="463">
        <v>49.921567515176349</v>
      </c>
      <c r="Z14" s="463">
        <v>6.3206661440864291</v>
      </c>
      <c r="AA14" s="463">
        <v>7</v>
      </c>
      <c r="AB14" s="463" t="s">
        <v>173</v>
      </c>
      <c r="AC14" s="463">
        <v>65</v>
      </c>
      <c r="AD14" s="463">
        <v>160</v>
      </c>
      <c r="AE14" s="463" t="s">
        <v>525</v>
      </c>
      <c r="AF14" s="463" t="s">
        <v>525</v>
      </c>
      <c r="AG14" s="463" t="s">
        <v>167</v>
      </c>
      <c r="AH14" s="463">
        <v>9.1999999999999993</v>
      </c>
      <c r="AI14" s="463">
        <v>1.9</v>
      </c>
      <c r="AK14" s="599" t="s">
        <v>540</v>
      </c>
      <c r="AL14" s="604" t="s">
        <v>539</v>
      </c>
    </row>
    <row r="15" spans="2:54" ht="18" customHeight="1" x14ac:dyDescent="0.2">
      <c r="D15" s="658" t="s">
        <v>358</v>
      </c>
      <c r="E15" s="604">
        <f>'2. Present Risk Factors'!E9</f>
        <v>4.4000000000000004</v>
      </c>
      <c r="F15" s="659"/>
      <c r="G15" s="573"/>
      <c r="H15" s="596"/>
      <c r="L15" s="623" t="s">
        <v>437</v>
      </c>
      <c r="M15" s="624"/>
      <c r="N15" s="624"/>
      <c r="O15" s="622">
        <f>Rechner!R19</f>
        <v>44.571005887952538</v>
      </c>
      <c r="P15" s="622">
        <f>Rechner!R23</f>
        <v>57.874533529547115</v>
      </c>
      <c r="Q15" s="469">
        <f>Rechner!R24</f>
        <v>1.0149999999999999</v>
      </c>
      <c r="Y15" s="463">
        <v>21.041166220428465</v>
      </c>
      <c r="Z15" s="463">
        <v>0.32859000573847164</v>
      </c>
      <c r="AA15" s="463">
        <v>8</v>
      </c>
      <c r="AB15" s="463" t="s">
        <v>173</v>
      </c>
      <c r="AC15" s="463">
        <v>40</v>
      </c>
      <c r="AD15" s="463">
        <v>160</v>
      </c>
      <c r="AE15" s="463" t="s">
        <v>167</v>
      </c>
      <c r="AF15" s="463" t="s">
        <v>167</v>
      </c>
      <c r="AG15" s="463" t="s">
        <v>525</v>
      </c>
      <c r="AH15" s="463">
        <v>9.1999999999999993</v>
      </c>
      <c r="AI15" s="463">
        <v>0.9</v>
      </c>
    </row>
    <row r="16" spans="2:54" ht="18" customHeight="1" x14ac:dyDescent="0.2">
      <c r="D16" s="658" t="s">
        <v>41</v>
      </c>
      <c r="E16" s="604">
        <f>'2. Present Risk Factors'!E10</f>
        <v>0.9</v>
      </c>
      <c r="F16" s="659"/>
      <c r="G16" s="573"/>
      <c r="H16" s="596"/>
      <c r="L16" s="623" t="s">
        <v>438</v>
      </c>
      <c r="M16" s="624"/>
      <c r="N16" s="624"/>
      <c r="O16" s="622">
        <f>Rechner!O30</f>
        <v>44.682803139140148</v>
      </c>
      <c r="P16" s="622">
        <f>Rechner!O33</f>
        <v>58.019699958562299</v>
      </c>
      <c r="Q16" s="469">
        <f>Rechner!R24</f>
        <v>1.0149999999999999</v>
      </c>
      <c r="Y16" s="463">
        <v>61.972458185885969</v>
      </c>
      <c r="Z16" s="463">
        <v>13.04840040968508</v>
      </c>
      <c r="AA16" s="463">
        <v>9</v>
      </c>
      <c r="AB16" s="463" t="s">
        <v>166</v>
      </c>
      <c r="AC16" s="463">
        <v>65</v>
      </c>
      <c r="AD16" s="463">
        <v>160</v>
      </c>
      <c r="AE16" s="463" t="s">
        <v>525</v>
      </c>
      <c r="AF16" s="463" t="s">
        <v>525</v>
      </c>
      <c r="AG16" s="463" t="s">
        <v>167</v>
      </c>
      <c r="AH16" s="463">
        <v>9.1999999999999993</v>
      </c>
      <c r="AI16" s="463">
        <v>1.9</v>
      </c>
    </row>
    <row r="17" spans="2:36" ht="18" customHeight="1" x14ac:dyDescent="0.2">
      <c r="D17" s="658" t="s">
        <v>51</v>
      </c>
      <c r="E17" s="604">
        <f>'2. Present Risk Factors'!E11</f>
        <v>2.9</v>
      </c>
      <c r="F17" s="700"/>
      <c r="G17" s="617" t="s">
        <v>536</v>
      </c>
      <c r="L17" s="475"/>
      <c r="M17" s="472" t="s">
        <v>440</v>
      </c>
      <c r="N17" s="472"/>
      <c r="O17" s="474">
        <f>IF(AL14="N",ABS(Rechner!C32),"")</f>
        <v>15.008954532418178</v>
      </c>
      <c r="Y17" s="463">
        <v>16.605922877425538</v>
      </c>
      <c r="Z17" s="463">
        <v>1.3686790425692874</v>
      </c>
      <c r="AA17" s="463">
        <v>10</v>
      </c>
      <c r="AB17" s="463" t="s">
        <v>166</v>
      </c>
      <c r="AC17" s="463">
        <v>40</v>
      </c>
      <c r="AD17" s="463">
        <v>140</v>
      </c>
      <c r="AE17" s="463" t="s">
        <v>525</v>
      </c>
      <c r="AF17" s="463" t="s">
        <v>167</v>
      </c>
      <c r="AG17" s="463" t="s">
        <v>525</v>
      </c>
      <c r="AH17" s="463">
        <v>9.1999999999999993</v>
      </c>
      <c r="AI17" s="463">
        <v>1.9</v>
      </c>
    </row>
    <row r="18" spans="2:36" ht="18" customHeight="1" x14ac:dyDescent="0.25">
      <c r="D18" s="658" t="s">
        <v>1</v>
      </c>
      <c r="E18" s="602">
        <f>'1. Determine Age'!J6</f>
        <v>0</v>
      </c>
      <c r="F18" s="659"/>
      <c r="G18" s="608" t="str">
        <f>L37</f>
        <v>Aspirin is appropriate in secondary prevention</v>
      </c>
      <c r="H18" s="732" t="str">
        <f>IF(K37=2,"",O17)</f>
        <v/>
      </c>
      <c r="L18" s="472" t="s">
        <v>162</v>
      </c>
      <c r="M18" s="473"/>
      <c r="N18" s="473"/>
      <c r="O18" s="474">
        <f>Rechner!G32</f>
        <v>51.364799999999995</v>
      </c>
      <c r="P18" s="473"/>
      <c r="Q18" s="473"/>
      <c r="Y18" s="463">
        <v>17.483219245950654</v>
      </c>
      <c r="Z18" s="463">
        <v>0.22433414135466512</v>
      </c>
      <c r="AA18" s="463">
        <v>11</v>
      </c>
      <c r="AB18" s="463" t="s">
        <v>173</v>
      </c>
      <c r="AC18" s="463">
        <v>40</v>
      </c>
      <c r="AD18" s="463">
        <v>140</v>
      </c>
      <c r="AE18" s="463" t="s">
        <v>167</v>
      </c>
      <c r="AF18" s="463" t="s">
        <v>525</v>
      </c>
      <c r="AG18" s="463" t="s">
        <v>525</v>
      </c>
      <c r="AH18" s="463">
        <v>9.1999999999999993</v>
      </c>
      <c r="AI18" s="463">
        <v>1.9</v>
      </c>
    </row>
    <row r="19" spans="2:36" ht="18" customHeight="1" x14ac:dyDescent="0.25">
      <c r="D19" s="658" t="s">
        <v>1</v>
      </c>
      <c r="E19" s="602">
        <f>'1. Determine Age'!J10</f>
        <v>0</v>
      </c>
      <c r="F19" s="659"/>
      <c r="G19" s="608" t="str">
        <f>D52</f>
        <v>Xarelto vascular may be indicated</v>
      </c>
      <c r="L19" s="472" t="s">
        <v>346</v>
      </c>
      <c r="M19" s="473"/>
      <c r="N19" s="473"/>
      <c r="O19" s="476">
        <f>Rechner!C24</f>
        <v>20.069204152249139</v>
      </c>
      <c r="P19" s="473"/>
      <c r="Q19" s="473"/>
      <c r="Y19" s="463">
        <v>45.932647821350791</v>
      </c>
      <c r="Z19" s="463">
        <v>5.265909140389013</v>
      </c>
      <c r="AA19" s="463">
        <v>12</v>
      </c>
      <c r="AB19" s="463" t="s">
        <v>173</v>
      </c>
      <c r="AC19" s="463">
        <v>65</v>
      </c>
      <c r="AD19" s="463">
        <v>140</v>
      </c>
      <c r="AE19" s="463" t="s">
        <v>167</v>
      </c>
      <c r="AF19" s="463" t="s">
        <v>525</v>
      </c>
      <c r="AG19" s="463" t="s">
        <v>525</v>
      </c>
      <c r="AH19" s="463">
        <v>6.1</v>
      </c>
      <c r="AI19" s="463">
        <v>0.9</v>
      </c>
    </row>
    <row r="20" spans="2:36" ht="18" customHeight="1" x14ac:dyDescent="0.25">
      <c r="D20" s="658" t="s">
        <v>546</v>
      </c>
      <c r="E20" s="604" t="str">
        <f>'2. Present Risk Factors'!E14</f>
        <v>N</v>
      </c>
      <c r="F20" s="700"/>
      <c r="G20" s="608" t="str">
        <f>D53</f>
        <v>LDL goal of 1.4 mmol/l not reached</v>
      </c>
      <c r="H20" s="596" t="s">
        <v>1</v>
      </c>
      <c r="I20" s="571"/>
      <c r="J20" s="571"/>
      <c r="L20" s="668" t="str">
        <f>IF(E38="N",IF(AL14="N",IF(O5&lt;20,"No apparent indication for Xarelto vascular",IF(OR(E137&gt;=1,I63&gt;=2),"No apparent indication for Xarelto vascular","Xarelto vascular may be indicated")),IF(O6&lt;20,"No apparent indication for Xarelto vascular",IF(OR(E137&gt;=1,I63&gt;=2),"No apparent indication for Xarelto vascular","Xarelto vascular may be indicated"))),"No apparent indication for Xarelto vascular")&amp;IF(M32=1,", but check bleeding risk","")</f>
        <v>Xarelto vascular may be indicated</v>
      </c>
      <c r="M20" s="473"/>
      <c r="N20" s="473"/>
      <c r="Y20" s="463">
        <v>16.113247047555067</v>
      </c>
      <c r="Z20" s="463">
        <v>4.3192641193546493</v>
      </c>
      <c r="AA20" s="463">
        <v>13</v>
      </c>
      <c r="AB20" s="463" t="s">
        <v>173</v>
      </c>
      <c r="AC20" s="463">
        <v>65</v>
      </c>
      <c r="AD20" s="463">
        <v>140</v>
      </c>
      <c r="AE20" s="463" t="s">
        <v>167</v>
      </c>
      <c r="AF20" s="463" t="s">
        <v>167</v>
      </c>
      <c r="AG20" s="463" t="s">
        <v>167</v>
      </c>
      <c r="AH20" s="463">
        <v>9.1999999999999993</v>
      </c>
      <c r="AI20" s="463">
        <v>1.9</v>
      </c>
    </row>
    <row r="21" spans="2:36" ht="18" customHeight="1" x14ac:dyDescent="0.2">
      <c r="D21" s="658" t="s">
        <v>547</v>
      </c>
      <c r="E21" s="604" t="str">
        <f>'2. Present Risk Factors'!E15</f>
        <v>Y</v>
      </c>
      <c r="F21" s="700"/>
      <c r="G21" s="608" t="str">
        <f>D54</f>
        <v>Blood pressure goal NOT reached</v>
      </c>
      <c r="H21" s="596" t="s">
        <v>1</v>
      </c>
      <c r="L21" s="472" t="s">
        <v>586</v>
      </c>
      <c r="M21" s="641"/>
      <c r="N21" s="472"/>
      <c r="O21" s="469"/>
      <c r="P21" s="469"/>
      <c r="Q21" s="469"/>
      <c r="R21" s="469" t="s">
        <v>331</v>
      </c>
      <c r="Z21" s="463">
        <v>60.805011016741382</v>
      </c>
      <c r="AA21" s="463">
        <v>5.2381060198234515</v>
      </c>
      <c r="AB21" s="463">
        <v>14</v>
      </c>
      <c r="AC21" s="463" t="s">
        <v>166</v>
      </c>
      <c r="AD21" s="463">
        <v>65</v>
      </c>
      <c r="AE21" s="463">
        <v>140</v>
      </c>
      <c r="AF21" s="463" t="s">
        <v>525</v>
      </c>
      <c r="AG21" s="463" t="s">
        <v>525</v>
      </c>
      <c r="AH21" s="463" t="s">
        <v>167</v>
      </c>
      <c r="AI21" s="463">
        <v>6.1</v>
      </c>
      <c r="AJ21" s="463">
        <v>0.9</v>
      </c>
    </row>
    <row r="22" spans="2:36" ht="18" customHeight="1" x14ac:dyDescent="0.25">
      <c r="D22" s="658" t="s">
        <v>548</v>
      </c>
      <c r="E22" s="604" t="str">
        <f>'2. Present Risk Factors'!E16</f>
        <v>N</v>
      </c>
      <c r="F22" s="700"/>
      <c r="H22" s="596" t="s">
        <v>1</v>
      </c>
      <c r="K22" s="50"/>
      <c r="L22" s="472" t="s">
        <v>574</v>
      </c>
      <c r="M22" s="635" t="str">
        <f>IF(O6&lt;P26,"L",IF(O6&lt;P27,"M",IF(O6&lt;P28,"H","V")))</f>
        <v>V</v>
      </c>
      <c r="N22" s="637">
        <f>VLOOKUP(M22,M25:N28,2,FALSE)</f>
        <v>4</v>
      </c>
      <c r="R22" s="625">
        <f>E42</f>
        <v>1</v>
      </c>
      <c r="Z22" s="463">
        <v>26.021369227201994</v>
      </c>
      <c r="AA22" s="463">
        <v>9.0750665128684567</v>
      </c>
      <c r="AB22" s="463">
        <v>15</v>
      </c>
      <c r="AC22" s="463" t="s">
        <v>166</v>
      </c>
      <c r="AD22" s="463">
        <v>65</v>
      </c>
      <c r="AE22" s="463">
        <v>140</v>
      </c>
      <c r="AF22" s="463" t="s">
        <v>167</v>
      </c>
      <c r="AG22" s="463" t="s">
        <v>167</v>
      </c>
      <c r="AH22" s="463" t="s">
        <v>167</v>
      </c>
      <c r="AI22" s="463">
        <v>9.1999999999999993</v>
      </c>
      <c r="AJ22" s="463">
        <v>1.9</v>
      </c>
    </row>
    <row r="23" spans="2:36" ht="18" customHeight="1" x14ac:dyDescent="0.2">
      <c r="B23" s="146"/>
      <c r="C23" s="146"/>
      <c r="D23" s="658" t="s">
        <v>549</v>
      </c>
      <c r="E23" s="604" t="str">
        <f>'2. Present Risk Factors'!E17</f>
        <v>N</v>
      </c>
      <c r="F23" s="700"/>
      <c r="G23" s="617" t="s">
        <v>537</v>
      </c>
      <c r="I23" s="468"/>
      <c r="J23" s="468"/>
      <c r="K23" s="468"/>
      <c r="L23" s="472" t="s">
        <v>573</v>
      </c>
      <c r="M23" s="634" t="str">
        <f>IF(O5&lt;O25,"L",IF(O5&lt;O26,"M",IF(O5&lt;O27,"H","V")))</f>
        <v>V</v>
      </c>
      <c r="N23" s="637">
        <f>VLOOKUP(M23,M25:N28,2,FALSE)</f>
        <v>4</v>
      </c>
      <c r="R23" s="475"/>
      <c r="Z23" s="463">
        <v>11.035095822980356</v>
      </c>
      <c r="AA23" s="463">
        <v>0.13445091735369008</v>
      </c>
      <c r="AB23" s="463">
        <v>16</v>
      </c>
      <c r="AC23" s="463" t="s">
        <v>173</v>
      </c>
      <c r="AD23" s="463">
        <v>40</v>
      </c>
      <c r="AE23" s="463">
        <v>140</v>
      </c>
      <c r="AF23" s="463" t="s">
        <v>167</v>
      </c>
      <c r="AG23" s="463" t="s">
        <v>525</v>
      </c>
      <c r="AH23" s="463" t="s">
        <v>525</v>
      </c>
      <c r="AI23" s="463">
        <v>6.1</v>
      </c>
      <c r="AJ23" s="463">
        <v>1.9</v>
      </c>
    </row>
    <row r="24" spans="2:36" ht="18" customHeight="1" x14ac:dyDescent="0.25">
      <c r="D24" s="658" t="s">
        <v>542</v>
      </c>
      <c r="E24" s="604">
        <f>'2. Present Risk Factors'!H4</f>
        <v>170</v>
      </c>
      <c r="F24" s="700"/>
      <c r="G24" s="573" t="str">
        <f>D62</f>
        <v>Kreatinin Clearance ml/min Cockcroft</v>
      </c>
      <c r="H24" s="597">
        <f>E62</f>
        <v>51.364799999999995</v>
      </c>
      <c r="I24" s="468"/>
      <c r="J24" s="468"/>
      <c r="K24" s="468"/>
      <c r="L24" s="472" t="s">
        <v>576</v>
      </c>
      <c r="M24" s="638">
        <f>IF(M33=0,VLOOKUP(N23,N25:Q28,4,FALSE),VLOOKUP(N22,N25:Q28,4,FALSE))</f>
        <v>1.4</v>
      </c>
      <c r="N24" s="636" t="s">
        <v>577</v>
      </c>
      <c r="O24" s="634" t="s">
        <v>568</v>
      </c>
      <c r="P24" s="635" t="s">
        <v>568</v>
      </c>
      <c r="Q24" s="666" t="s">
        <v>575</v>
      </c>
      <c r="R24" s="639" t="s">
        <v>164</v>
      </c>
      <c r="Y24" s="463">
        <v>5.4102995066519499</v>
      </c>
      <c r="Z24" s="463">
        <v>0.52711610176239265</v>
      </c>
      <c r="AA24" s="463">
        <v>17</v>
      </c>
      <c r="AB24" s="463" t="s">
        <v>166</v>
      </c>
      <c r="AC24" s="463">
        <v>40</v>
      </c>
      <c r="AD24" s="463">
        <v>160</v>
      </c>
      <c r="AE24" s="463" t="s">
        <v>167</v>
      </c>
      <c r="AF24" s="463" t="s">
        <v>167</v>
      </c>
      <c r="AG24" s="463" t="s">
        <v>167</v>
      </c>
      <c r="AH24" s="463">
        <v>6.1</v>
      </c>
      <c r="AI24" s="463">
        <v>1.9</v>
      </c>
    </row>
    <row r="25" spans="2:36" ht="18" customHeight="1" x14ac:dyDescent="0.25">
      <c r="D25" s="658" t="s">
        <v>355</v>
      </c>
      <c r="E25" s="604">
        <f>'2. Present Risk Factors'!H5</f>
        <v>58</v>
      </c>
      <c r="F25" s="701"/>
      <c r="G25" s="573" t="str">
        <f>D63</f>
        <v>Body Mass Index BMI</v>
      </c>
      <c r="H25" s="603">
        <f>E63</f>
        <v>20.069204152249139</v>
      </c>
      <c r="L25" s="472" t="s">
        <v>563</v>
      </c>
      <c r="M25" s="469" t="s">
        <v>334</v>
      </c>
      <c r="N25" s="637">
        <v>1</v>
      </c>
      <c r="O25" s="625">
        <v>9.99</v>
      </c>
      <c r="P25" s="625">
        <v>0</v>
      </c>
      <c r="Q25" s="626">
        <v>5</v>
      </c>
      <c r="R25" s="640" t="s">
        <v>580</v>
      </c>
      <c r="Y25" s="463">
        <v>77.844186709972391</v>
      </c>
      <c r="Z25" s="463">
        <v>24.935223945431016</v>
      </c>
      <c r="AA25" s="463">
        <v>18</v>
      </c>
      <c r="AB25" s="463" t="s">
        <v>166</v>
      </c>
      <c r="AC25" s="463">
        <v>65</v>
      </c>
      <c r="AD25" s="463">
        <v>160</v>
      </c>
      <c r="AE25" s="463" t="s">
        <v>167</v>
      </c>
      <c r="AF25" s="463" t="s">
        <v>167</v>
      </c>
      <c r="AG25" s="463" t="s">
        <v>525</v>
      </c>
      <c r="AH25" s="463">
        <v>9.1999999999999993</v>
      </c>
      <c r="AI25" s="463">
        <v>0.9</v>
      </c>
    </row>
    <row r="26" spans="2:36" ht="18" customHeight="1" x14ac:dyDescent="0.25">
      <c r="D26" s="617" t="s">
        <v>515</v>
      </c>
      <c r="E26" s="602"/>
      <c r="L26" s="472" t="s">
        <v>564</v>
      </c>
      <c r="M26" s="469" t="s">
        <v>166</v>
      </c>
      <c r="N26" s="637">
        <v>2</v>
      </c>
      <c r="O26" s="625">
        <v>19.989999999999998</v>
      </c>
      <c r="P26" s="625">
        <v>10</v>
      </c>
      <c r="Q26" s="626">
        <v>2.6</v>
      </c>
      <c r="R26" s="640" t="s">
        <v>581</v>
      </c>
      <c r="Y26" s="463">
        <v>41.282970194323731</v>
      </c>
      <c r="Z26" s="463">
        <v>1.0518346817410706</v>
      </c>
      <c r="AA26" s="463">
        <v>19</v>
      </c>
      <c r="AB26" s="463" t="s">
        <v>166</v>
      </c>
      <c r="AC26" s="463">
        <v>40</v>
      </c>
      <c r="AD26" s="463">
        <v>160</v>
      </c>
      <c r="AE26" s="463" t="s">
        <v>525</v>
      </c>
      <c r="AF26" s="463" t="s">
        <v>525</v>
      </c>
      <c r="AG26" s="463" t="s">
        <v>525</v>
      </c>
      <c r="AH26" s="463">
        <v>6.1</v>
      </c>
      <c r="AI26" s="463">
        <v>0.9</v>
      </c>
    </row>
    <row r="27" spans="2:36" ht="18" customHeight="1" x14ac:dyDescent="0.25">
      <c r="D27" s="573" t="s">
        <v>359</v>
      </c>
      <c r="E27" s="605">
        <f>'2. Present Risk Factors'!H7</f>
        <v>100</v>
      </c>
      <c r="G27" s="617" t="s">
        <v>572</v>
      </c>
      <c r="L27" s="472" t="s">
        <v>565</v>
      </c>
      <c r="M27" s="469" t="s">
        <v>335</v>
      </c>
      <c r="N27" s="637">
        <v>3</v>
      </c>
      <c r="O27" s="625">
        <v>29.99</v>
      </c>
      <c r="P27" s="625">
        <v>20</v>
      </c>
      <c r="Q27" s="626">
        <v>1.8</v>
      </c>
      <c r="R27" s="640" t="s">
        <v>582</v>
      </c>
      <c r="Y27" s="463">
        <v>37.284923574144358</v>
      </c>
      <c r="Z27" s="463">
        <v>5.2381060198234515</v>
      </c>
      <c r="AA27" s="463">
        <v>20</v>
      </c>
      <c r="AB27" s="463" t="s">
        <v>166</v>
      </c>
      <c r="AC27" s="463">
        <v>65</v>
      </c>
      <c r="AD27" s="463">
        <v>140</v>
      </c>
      <c r="AE27" s="463" t="s">
        <v>525</v>
      </c>
      <c r="AF27" s="463" t="s">
        <v>525</v>
      </c>
      <c r="AG27" s="463" t="s">
        <v>167</v>
      </c>
      <c r="AH27" s="463">
        <v>6.1</v>
      </c>
      <c r="AI27" s="463">
        <v>1.9</v>
      </c>
    </row>
    <row r="28" spans="2:36" ht="18" customHeight="1" x14ac:dyDescent="0.25">
      <c r="D28" s="573" t="s">
        <v>550</v>
      </c>
      <c r="E28" s="604" t="str">
        <f>'5. Check Bleeding Risk'!I5</f>
        <v>n</v>
      </c>
      <c r="G28" s="573" t="str">
        <f t="shared" ref="G28:H33" si="1">D64</f>
        <v>Cost per QALY for Atorvastatin 40 mg/d in 20 years</v>
      </c>
      <c r="H28" s="597">
        <f t="shared" si="1"/>
        <v>-45714.476490454137</v>
      </c>
      <c r="L28" s="472" t="s">
        <v>566</v>
      </c>
      <c r="M28" s="469" t="s">
        <v>567</v>
      </c>
      <c r="N28" s="637">
        <v>4</v>
      </c>
      <c r="O28" s="625" t="s">
        <v>651</v>
      </c>
      <c r="P28" s="625">
        <v>30</v>
      </c>
      <c r="Q28" s="626">
        <v>1.4</v>
      </c>
      <c r="R28" s="640" t="s">
        <v>579</v>
      </c>
      <c r="AA28" s="463">
        <v>21</v>
      </c>
      <c r="AB28" s="463" t="s">
        <v>173</v>
      </c>
      <c r="AC28" s="463">
        <v>40</v>
      </c>
      <c r="AD28" s="463">
        <v>140</v>
      </c>
      <c r="AE28" s="463" t="s">
        <v>525</v>
      </c>
      <c r="AF28" s="463" t="s">
        <v>525</v>
      </c>
      <c r="AG28" s="463" t="s">
        <v>525</v>
      </c>
      <c r="AH28" s="463">
        <v>9.1999999999999993</v>
      </c>
      <c r="AI28" s="463">
        <v>1.9</v>
      </c>
    </row>
    <row r="29" spans="2:36" ht="18" customHeight="1" x14ac:dyDescent="0.2">
      <c r="D29" s="573" t="s">
        <v>551</v>
      </c>
      <c r="E29" s="604" t="str">
        <f>'5. Check Bleeding Risk'!I6</f>
        <v>n</v>
      </c>
      <c r="G29" s="573" t="str">
        <f t="shared" si="1"/>
        <v>Cost per QALY for Rosuvastatin 20 mg/d in 20 years</v>
      </c>
      <c r="H29" s="597">
        <f t="shared" si="1"/>
        <v>-44822.975227135314</v>
      </c>
      <c r="M29" s="472"/>
      <c r="N29" s="472"/>
      <c r="O29" s="472"/>
      <c r="P29" s="472"/>
      <c r="Q29" s="472"/>
      <c r="AA29" s="463">
        <v>22</v>
      </c>
      <c r="AB29" s="463" t="s">
        <v>166</v>
      </c>
      <c r="AC29" s="463">
        <v>65</v>
      </c>
      <c r="AD29" s="463">
        <v>140</v>
      </c>
      <c r="AE29" s="463" t="s">
        <v>525</v>
      </c>
      <c r="AF29" s="463" t="s">
        <v>525</v>
      </c>
      <c r="AG29" s="463" t="s">
        <v>525</v>
      </c>
      <c r="AH29" s="463">
        <v>6.1</v>
      </c>
      <c r="AI29" s="463">
        <v>1.9</v>
      </c>
    </row>
    <row r="30" spans="2:36" ht="18" customHeight="1" x14ac:dyDescent="0.2">
      <c r="D30" s="573" t="s">
        <v>560</v>
      </c>
      <c r="E30" s="604">
        <f>'5. Check Bleeding Risk'!I7</f>
        <v>0</v>
      </c>
      <c r="G30" s="573" t="str">
        <f t="shared" si="1"/>
        <v>Cost per QALY for Ezetimibe 10 mg/d in 20 years</v>
      </c>
      <c r="H30" s="597">
        <f t="shared" si="1"/>
        <v>-35629.837605526824</v>
      </c>
      <c r="I30" s="472"/>
      <c r="J30" s="472"/>
      <c r="K30" s="472"/>
      <c r="L30" s="642" t="s">
        <v>587</v>
      </c>
      <c r="M30" s="641">
        <f>IF(M21=0,3,IF((IF(E18&lt;800,0,1)+IF(E19&lt;1000,0,1))&gt;=1,10,3))</f>
        <v>3</v>
      </c>
      <c r="N30" s="472"/>
      <c r="O30" s="472"/>
      <c r="P30" s="472"/>
      <c r="Q30" s="472"/>
      <c r="AA30" s="463">
        <v>23</v>
      </c>
      <c r="AB30" s="463" t="s">
        <v>173</v>
      </c>
      <c r="AC30" s="463">
        <v>65</v>
      </c>
      <c r="AD30" s="463">
        <v>140</v>
      </c>
      <c r="AE30" s="463" t="s">
        <v>167</v>
      </c>
      <c r="AF30" s="463" t="s">
        <v>167</v>
      </c>
      <c r="AG30" s="463" t="s">
        <v>525</v>
      </c>
      <c r="AH30" s="463">
        <v>9.1999999999999993</v>
      </c>
      <c r="AI30" s="463">
        <v>0.9</v>
      </c>
    </row>
    <row r="31" spans="2:36" ht="18" customHeight="1" x14ac:dyDescent="0.2">
      <c r="D31" s="573" t="s">
        <v>552</v>
      </c>
      <c r="E31" s="604" t="str">
        <f>'5. Check Bleeding Risk'!I8</f>
        <v>n</v>
      </c>
      <c r="G31" s="573" t="str">
        <f t="shared" si="1"/>
        <v>Cost per QALY for Evolocumab in 20 years</v>
      </c>
      <c r="H31" s="597">
        <f t="shared" si="1"/>
        <v>30730.938488457876</v>
      </c>
      <c r="I31" s="472"/>
      <c r="J31" s="472"/>
      <c r="K31" s="472"/>
      <c r="L31" s="646" t="s">
        <v>588</v>
      </c>
      <c r="M31" s="647">
        <f>IF(O17&gt;100,0,1)</f>
        <v>1</v>
      </c>
      <c r="N31" s="472"/>
      <c r="O31" s="472"/>
      <c r="P31" s="472"/>
      <c r="Q31" s="472"/>
      <c r="AA31" s="463">
        <v>24</v>
      </c>
      <c r="AB31" s="463" t="s">
        <v>166</v>
      </c>
      <c r="AC31" s="463">
        <v>40</v>
      </c>
      <c r="AD31" s="463">
        <v>140</v>
      </c>
      <c r="AE31" s="463" t="s">
        <v>525</v>
      </c>
      <c r="AF31" s="463" t="s">
        <v>525</v>
      </c>
      <c r="AG31" s="463" t="s">
        <v>167</v>
      </c>
      <c r="AH31" s="463">
        <v>6.1</v>
      </c>
      <c r="AI31" s="463">
        <v>0.9</v>
      </c>
    </row>
    <row r="32" spans="2:36" ht="18" customHeight="1" x14ac:dyDescent="0.2">
      <c r="D32" s="573" t="s">
        <v>553</v>
      </c>
      <c r="E32" s="604" t="str">
        <f>'5. Check Bleeding Risk'!I9</f>
        <v>n</v>
      </c>
      <c r="G32" s="573" t="str">
        <f t="shared" si="1"/>
        <v>Cost per QALY for Alirocumab in 20 years</v>
      </c>
      <c r="H32" s="597">
        <f t="shared" si="1"/>
        <v>33198.615345409955</v>
      </c>
      <c r="I32" s="472"/>
      <c r="J32" s="472"/>
      <c r="K32" s="472"/>
      <c r="L32" s="646" t="s">
        <v>589</v>
      </c>
      <c r="M32" s="637">
        <v>0</v>
      </c>
      <c r="N32" s="472"/>
      <c r="O32" s="472"/>
      <c r="P32" s="472"/>
      <c r="Q32" s="472"/>
      <c r="AA32" s="463">
        <v>25</v>
      </c>
      <c r="AB32" s="463" t="s">
        <v>173</v>
      </c>
      <c r="AC32" s="463">
        <v>65</v>
      </c>
      <c r="AD32" s="463">
        <v>140</v>
      </c>
      <c r="AE32" s="463" t="s">
        <v>167</v>
      </c>
      <c r="AF32" s="463" t="s">
        <v>525</v>
      </c>
      <c r="AG32" s="463" t="s">
        <v>525</v>
      </c>
      <c r="AH32" s="463">
        <v>9.1999999999999993</v>
      </c>
      <c r="AI32" s="463">
        <v>0.9</v>
      </c>
    </row>
    <row r="33" spans="4:36" ht="18" customHeight="1" x14ac:dyDescent="0.2">
      <c r="D33" s="573" t="s">
        <v>554</v>
      </c>
      <c r="E33" s="604" t="str">
        <f>'5. Check Bleeding Risk'!I10</f>
        <v>n</v>
      </c>
      <c r="G33" s="573" t="str">
        <f t="shared" si="1"/>
        <v>Cost per QALY for Rivaroxaban vascular in 20 years</v>
      </c>
      <c r="H33" s="597">
        <f t="shared" si="1"/>
        <v>-178572.76864137896</v>
      </c>
      <c r="I33" s="472"/>
      <c r="J33" s="472"/>
      <c r="K33" s="472"/>
      <c r="L33" s="646" t="s">
        <v>591</v>
      </c>
      <c r="M33" s="637">
        <f>IF(SUM(A98:A100)&gt;0,20,0)</f>
        <v>20</v>
      </c>
      <c r="N33" s="472"/>
      <c r="O33" s="472"/>
      <c r="P33" s="472"/>
      <c r="Q33" s="472"/>
      <c r="AA33" s="463">
        <v>26</v>
      </c>
      <c r="AB33" s="463" t="s">
        <v>173</v>
      </c>
      <c r="AC33" s="463">
        <v>65</v>
      </c>
      <c r="AD33" s="463">
        <v>140</v>
      </c>
      <c r="AE33" s="463" t="s">
        <v>525</v>
      </c>
      <c r="AF33" s="463" t="s">
        <v>525</v>
      </c>
      <c r="AG33" s="463" t="s">
        <v>167</v>
      </c>
      <c r="AH33" s="463">
        <v>9.1999999999999993</v>
      </c>
      <c r="AI33" s="463">
        <v>0.9</v>
      </c>
    </row>
    <row r="34" spans="4:36" ht="18" customHeight="1" x14ac:dyDescent="0.25">
      <c r="D34" s="573" t="s">
        <v>555</v>
      </c>
      <c r="E34" s="604" t="str">
        <f>'5. Check Bleeding Risk'!I11</f>
        <v>n</v>
      </c>
      <c r="I34" s="472"/>
      <c r="J34" s="472"/>
      <c r="K34" s="472"/>
      <c r="M34" s="472"/>
      <c r="N34" s="472"/>
      <c r="O34" s="472"/>
      <c r="P34" s="472"/>
      <c r="Q34" s="472"/>
      <c r="AA34" s="463">
        <v>27</v>
      </c>
      <c r="AB34" s="463" t="s">
        <v>166</v>
      </c>
      <c r="AC34" s="463">
        <v>40</v>
      </c>
      <c r="AD34" s="463">
        <v>140</v>
      </c>
      <c r="AE34" s="463" t="s">
        <v>167</v>
      </c>
      <c r="AF34" s="463" t="s">
        <v>167</v>
      </c>
      <c r="AG34" s="463" t="s">
        <v>525</v>
      </c>
      <c r="AH34" s="463">
        <v>9.1999999999999993</v>
      </c>
      <c r="AI34" s="463">
        <v>1.9</v>
      </c>
    </row>
    <row r="35" spans="4:36" ht="18" customHeight="1" x14ac:dyDescent="0.2">
      <c r="D35" s="573" t="s">
        <v>556</v>
      </c>
      <c r="E35" s="604" t="str">
        <f>'5. Check Bleeding Risk'!I12</f>
        <v>n</v>
      </c>
      <c r="G35" s="793" t="str">
        <f>D55</f>
        <v>When LDL goal not reached, consider plaque imaging (carotid, ev.  CAC Score) in non-high risk individuals defined by SCORE</v>
      </c>
      <c r="I35" s="472"/>
      <c r="J35" s="472"/>
      <c r="K35" s="472"/>
      <c r="L35" s="472"/>
      <c r="M35" s="472"/>
      <c r="N35" s="472"/>
      <c r="O35" s="472"/>
      <c r="P35" s="472"/>
      <c r="Q35" s="472"/>
      <c r="AA35" s="463">
        <v>28</v>
      </c>
      <c r="AB35" s="463" t="s">
        <v>173</v>
      </c>
      <c r="AC35" s="463">
        <v>65</v>
      </c>
      <c r="AD35" s="463">
        <v>160</v>
      </c>
      <c r="AE35" s="463" t="s">
        <v>167</v>
      </c>
      <c r="AF35" s="463" t="s">
        <v>167</v>
      </c>
      <c r="AG35" s="463" t="s">
        <v>167</v>
      </c>
      <c r="AH35" s="463">
        <v>6.1</v>
      </c>
      <c r="AI35" s="463">
        <v>0.9</v>
      </c>
    </row>
    <row r="36" spans="4:36" ht="18" customHeight="1" x14ac:dyDescent="0.25">
      <c r="D36" s="573" t="s">
        <v>557</v>
      </c>
      <c r="E36" s="604" t="str">
        <f>'5. Check Bleeding Risk'!I13</f>
        <v>n</v>
      </c>
      <c r="G36" s="793"/>
      <c r="K36" s="645"/>
      <c r="L36" s="472"/>
      <c r="M36" s="472"/>
      <c r="N36" s="472"/>
      <c r="O36" s="472"/>
      <c r="P36" s="472"/>
      <c r="Q36" s="472"/>
      <c r="AA36" s="463">
        <v>29</v>
      </c>
      <c r="AB36" s="463" t="s">
        <v>166</v>
      </c>
      <c r="AC36" s="463">
        <v>65</v>
      </c>
      <c r="AD36" s="463">
        <v>160</v>
      </c>
      <c r="AE36" s="463" t="s">
        <v>525</v>
      </c>
      <c r="AF36" s="463" t="s">
        <v>525</v>
      </c>
      <c r="AG36" s="463" t="s">
        <v>167</v>
      </c>
      <c r="AH36" s="463">
        <v>6.1</v>
      </c>
      <c r="AI36" s="463">
        <v>0.9</v>
      </c>
    </row>
    <row r="37" spans="4:36" ht="18" customHeight="1" x14ac:dyDescent="0.2">
      <c r="D37" s="599" t="s">
        <v>558</v>
      </c>
      <c r="E37" s="604" t="str">
        <f>'5. Check Bleeding Risk'!I14</f>
        <v>n</v>
      </c>
      <c r="G37" s="793"/>
      <c r="I37" s="472"/>
      <c r="J37" s="472"/>
      <c r="K37" s="644">
        <f>IF(SUM(M31+M30+M32+M33)&gt;=20,2,M31+M30+M32+M33)</f>
        <v>2</v>
      </c>
      <c r="L37" s="472" t="str">
        <f>VLOOKUP(K37,K39:L46,2,FALSE)</f>
        <v>Aspirin is appropriate in secondary prevention</v>
      </c>
      <c r="M37" s="472"/>
      <c r="N37" s="472"/>
      <c r="O37" s="472"/>
      <c r="P37" s="472"/>
      <c r="Q37" s="472"/>
      <c r="AA37" s="463">
        <v>30</v>
      </c>
      <c r="AB37" s="463" t="s">
        <v>173</v>
      </c>
      <c r="AC37" s="463">
        <v>40</v>
      </c>
      <c r="AD37" s="463">
        <v>160</v>
      </c>
      <c r="AE37" s="463" t="s">
        <v>167</v>
      </c>
      <c r="AF37" s="463" t="s">
        <v>525</v>
      </c>
      <c r="AG37" s="463" t="s">
        <v>525</v>
      </c>
      <c r="AH37" s="463">
        <v>6.1</v>
      </c>
      <c r="AI37" s="463">
        <v>1.9</v>
      </c>
    </row>
    <row r="38" spans="4:36" ht="18" customHeight="1" x14ac:dyDescent="0.25">
      <c r="D38" s="573" t="s">
        <v>433</v>
      </c>
      <c r="E38" s="604" t="s">
        <v>539</v>
      </c>
      <c r="F38" s="701"/>
      <c r="I38" s="472"/>
      <c r="J38" s="472"/>
      <c r="M38" s="472"/>
      <c r="N38" s="472"/>
      <c r="O38" s="472"/>
      <c r="P38" s="472"/>
      <c r="Q38" s="472"/>
      <c r="AA38" s="463">
        <v>31</v>
      </c>
      <c r="AB38" s="463" t="s">
        <v>166</v>
      </c>
      <c r="AC38" s="463">
        <v>65</v>
      </c>
      <c r="AD38" s="463">
        <v>160</v>
      </c>
      <c r="AE38" s="463" t="s">
        <v>167</v>
      </c>
      <c r="AF38" s="463" t="s">
        <v>167</v>
      </c>
      <c r="AG38" s="463" t="s">
        <v>525</v>
      </c>
      <c r="AH38" s="463">
        <v>6.1</v>
      </c>
      <c r="AI38" s="463">
        <v>0.9</v>
      </c>
    </row>
    <row r="39" spans="4:36" ht="18" customHeight="1" x14ac:dyDescent="0.25">
      <c r="D39" s="617" t="s">
        <v>514</v>
      </c>
      <c r="E39" s="602"/>
      <c r="I39" s="472"/>
      <c r="J39" s="472"/>
      <c r="K39" s="643">
        <v>0</v>
      </c>
      <c r="L39" s="472" t="s">
        <v>584</v>
      </c>
      <c r="M39" s="472"/>
      <c r="N39" s="472"/>
      <c r="O39" s="472"/>
      <c r="P39" s="472"/>
      <c r="Q39" s="472"/>
      <c r="AA39" s="463">
        <v>32</v>
      </c>
      <c r="AB39" s="463" t="s">
        <v>166</v>
      </c>
      <c r="AC39" s="463">
        <v>40</v>
      </c>
      <c r="AD39" s="463">
        <v>140</v>
      </c>
      <c r="AE39" s="463" t="s">
        <v>167</v>
      </c>
      <c r="AF39" s="463" t="s">
        <v>167</v>
      </c>
      <c r="AG39" s="463" t="s">
        <v>167</v>
      </c>
      <c r="AH39" s="463">
        <v>6.1</v>
      </c>
      <c r="AI39" s="463">
        <v>0.9</v>
      </c>
    </row>
    <row r="40" spans="4:36" ht="18" customHeight="1" x14ac:dyDescent="0.25">
      <c r="D40" s="573" t="s">
        <v>530</v>
      </c>
      <c r="E40" s="604">
        <v>20</v>
      </c>
      <c r="F40" s="702"/>
      <c r="I40" s="472"/>
      <c r="J40" s="472"/>
      <c r="K40" s="649">
        <v>2</v>
      </c>
      <c r="L40" s="650" t="s">
        <v>585</v>
      </c>
      <c r="M40" s="472"/>
      <c r="N40" s="472"/>
      <c r="O40" s="472"/>
      <c r="P40" s="472"/>
      <c r="Q40" s="472"/>
      <c r="AA40" s="463">
        <v>33</v>
      </c>
      <c r="AB40" s="463" t="s">
        <v>173</v>
      </c>
      <c r="AC40" s="463">
        <v>65</v>
      </c>
      <c r="AD40" s="463">
        <v>140</v>
      </c>
      <c r="AE40" s="463" t="s">
        <v>167</v>
      </c>
      <c r="AF40" s="463" t="s">
        <v>525</v>
      </c>
      <c r="AG40" s="463" t="s">
        <v>167</v>
      </c>
      <c r="AH40" s="463">
        <v>9.1999999999999993</v>
      </c>
      <c r="AI40" s="463">
        <v>0.9</v>
      </c>
    </row>
    <row r="41" spans="4:36" ht="18" customHeight="1" x14ac:dyDescent="0.25">
      <c r="D41" s="573" t="s">
        <v>594</v>
      </c>
      <c r="E41" s="604">
        <v>15.8</v>
      </c>
      <c r="F41" s="702"/>
      <c r="H41" s="472"/>
      <c r="I41" s="472"/>
      <c r="J41" s="472"/>
      <c r="K41" s="643">
        <v>4</v>
      </c>
      <c r="L41" s="472" t="s">
        <v>637</v>
      </c>
      <c r="M41" s="472"/>
      <c r="N41" s="472"/>
      <c r="O41" s="472"/>
      <c r="P41" s="472"/>
      <c r="Q41" s="472"/>
      <c r="AA41" s="463">
        <v>34</v>
      </c>
      <c r="AB41" s="463" t="s">
        <v>166</v>
      </c>
      <c r="AC41" s="463">
        <v>40</v>
      </c>
      <c r="AD41" s="463">
        <v>140</v>
      </c>
      <c r="AE41" s="463" t="s">
        <v>167</v>
      </c>
      <c r="AF41" s="463" t="s">
        <v>167</v>
      </c>
      <c r="AG41" s="463" t="s">
        <v>525</v>
      </c>
      <c r="AH41" s="463">
        <v>6.1</v>
      </c>
      <c r="AI41" s="463">
        <v>1.9</v>
      </c>
    </row>
    <row r="42" spans="4:36" ht="18" customHeight="1" x14ac:dyDescent="0.25">
      <c r="D42" s="573" t="s">
        <v>524</v>
      </c>
      <c r="E42" s="604">
        <v>1</v>
      </c>
      <c r="F42" s="702"/>
      <c r="H42" s="472"/>
      <c r="I42" s="472"/>
      <c r="J42" s="472"/>
      <c r="K42" s="643">
        <v>5</v>
      </c>
      <c r="L42" s="472" t="s">
        <v>590</v>
      </c>
      <c r="M42" s="472"/>
      <c r="N42" s="472"/>
      <c r="O42" s="472"/>
      <c r="P42" s="472"/>
      <c r="Q42" s="472"/>
      <c r="AA42" s="463">
        <v>35</v>
      </c>
      <c r="AB42" s="463" t="s">
        <v>166</v>
      </c>
      <c r="AC42" s="463">
        <v>40</v>
      </c>
      <c r="AD42" s="463">
        <v>160</v>
      </c>
      <c r="AE42" s="463" t="s">
        <v>525</v>
      </c>
      <c r="AF42" s="463" t="s">
        <v>525</v>
      </c>
      <c r="AG42" s="463" t="s">
        <v>167</v>
      </c>
      <c r="AH42" s="463">
        <v>6.1</v>
      </c>
      <c r="AI42" s="463">
        <v>1.9</v>
      </c>
    </row>
    <row r="43" spans="4:36" ht="18" customHeight="1" x14ac:dyDescent="0.25">
      <c r="D43" s="617" t="s">
        <v>516</v>
      </c>
      <c r="E43" s="602"/>
      <c r="F43" s="702"/>
      <c r="H43" s="472"/>
      <c r="I43" s="472"/>
      <c r="J43" s="472"/>
      <c r="K43" s="643">
        <v>3</v>
      </c>
      <c r="L43" s="472" t="s">
        <v>584</v>
      </c>
      <c r="M43" s="472"/>
      <c r="N43" s="472"/>
      <c r="O43" s="472"/>
      <c r="P43" s="472"/>
      <c r="Q43" s="472"/>
      <c r="AA43" s="463">
        <v>36</v>
      </c>
      <c r="AB43" s="463" t="s">
        <v>166</v>
      </c>
      <c r="AC43" s="463">
        <v>40</v>
      </c>
      <c r="AD43" s="463">
        <v>140</v>
      </c>
      <c r="AE43" s="463" t="s">
        <v>525</v>
      </c>
      <c r="AF43" s="463" t="s">
        <v>167</v>
      </c>
      <c r="AG43" s="463" t="s">
        <v>525</v>
      </c>
      <c r="AH43" s="463">
        <v>9.1999999999999993</v>
      </c>
      <c r="AI43" s="463">
        <v>0.9</v>
      </c>
    </row>
    <row r="44" spans="4:36" ht="18" x14ac:dyDescent="0.25">
      <c r="D44" s="652" t="str">
        <f>IF(AL14="N","FRAMINGHAM Risk in Primary Prevention","")</f>
        <v>FRAMINGHAM Risk in Primary Prevention</v>
      </c>
      <c r="E44" s="657">
        <f>O5</f>
        <v>76.150702012561993</v>
      </c>
      <c r="F44" s="702"/>
      <c r="H44" s="472"/>
      <c r="I44" s="472"/>
      <c r="J44" s="472"/>
      <c r="K44" s="643">
        <v>10</v>
      </c>
      <c r="L44" s="472" t="s">
        <v>583</v>
      </c>
      <c r="M44" s="472"/>
      <c r="N44" s="472"/>
      <c r="O44" s="472"/>
      <c r="P44" s="472"/>
      <c r="Q44" s="472"/>
      <c r="AA44" s="463">
        <v>37</v>
      </c>
      <c r="AB44" s="463" t="s">
        <v>173</v>
      </c>
      <c r="AC44" s="463">
        <v>40</v>
      </c>
      <c r="AD44" s="463">
        <v>160</v>
      </c>
      <c r="AE44" s="463" t="s">
        <v>167</v>
      </c>
      <c r="AF44" s="463" t="s">
        <v>167</v>
      </c>
      <c r="AG44" s="463" t="s">
        <v>525</v>
      </c>
      <c r="AH44" s="463">
        <v>6.1</v>
      </c>
      <c r="AI44" s="463">
        <v>1.9</v>
      </c>
    </row>
    <row r="45" spans="4:36" ht="18" x14ac:dyDescent="0.2">
      <c r="D45" s="652" t="str">
        <f>IF(AL14="N","SCORE Risk in Primary and Secondary Prevention","")</f>
        <v>SCORE Risk in Primary and Secondary Prevention</v>
      </c>
      <c r="E45" s="653">
        <f>R5</f>
        <v>9.8655358666197017</v>
      </c>
      <c r="F45" s="702"/>
      <c r="G45" s="627"/>
      <c r="H45" s="472"/>
      <c r="I45" s="472"/>
      <c r="J45" s="472"/>
      <c r="K45" s="643">
        <v>11</v>
      </c>
      <c r="L45" s="472" t="s">
        <v>592</v>
      </c>
      <c r="M45" s="472"/>
      <c r="N45" s="472"/>
      <c r="O45" s="472"/>
      <c r="P45" s="472"/>
      <c r="Q45" s="472"/>
      <c r="AA45" s="463">
        <v>38</v>
      </c>
      <c r="AB45" s="463" t="s">
        <v>173</v>
      </c>
      <c r="AC45" s="463">
        <v>65</v>
      </c>
      <c r="AD45" s="463">
        <v>140</v>
      </c>
      <c r="AE45" s="463" t="s">
        <v>167</v>
      </c>
      <c r="AF45" s="463" t="s">
        <v>167</v>
      </c>
      <c r="AG45" s="463" t="s">
        <v>525</v>
      </c>
      <c r="AH45" s="463">
        <v>9.1999999999999993</v>
      </c>
      <c r="AI45" s="463">
        <v>1.9</v>
      </c>
    </row>
    <row r="46" spans="4:36" ht="18" x14ac:dyDescent="0.25">
      <c r="D46" s="652" t="s">
        <v>571</v>
      </c>
      <c r="E46" s="654">
        <f>O6</f>
        <v>95.427138089740623</v>
      </c>
      <c r="F46" s="701"/>
      <c r="H46" s="472"/>
      <c r="I46" s="472"/>
      <c r="J46" s="472"/>
      <c r="K46" s="643">
        <v>12</v>
      </c>
      <c r="L46" s="472" t="s">
        <v>583</v>
      </c>
      <c r="M46" s="472"/>
      <c r="N46" s="472"/>
      <c r="O46" s="472"/>
      <c r="P46" s="472"/>
      <c r="Q46" s="472"/>
      <c r="AA46" s="463">
        <v>39</v>
      </c>
      <c r="AB46" s="463" t="s">
        <v>166</v>
      </c>
      <c r="AC46" s="463">
        <v>65</v>
      </c>
      <c r="AD46" s="463">
        <v>140</v>
      </c>
      <c r="AE46" s="463" t="s">
        <v>525</v>
      </c>
      <c r="AF46" s="463" t="s">
        <v>525</v>
      </c>
      <c r="AG46" s="463" t="s">
        <v>525</v>
      </c>
      <c r="AH46" s="463">
        <v>9.1999999999999993</v>
      </c>
      <c r="AI46" s="463">
        <v>1.9</v>
      </c>
      <c r="AJ46" s="572" t="str">
        <f>IF(E8="N",VLOOKUP(Rechner!V4,Rechner!V10:X18,2,FALSE),"")</f>
        <v/>
      </c>
    </row>
    <row r="47" spans="4:36" ht="18" customHeight="1" x14ac:dyDescent="0.25">
      <c r="D47" s="652" t="str">
        <f>L37</f>
        <v>Aspirin is appropriate in secondary prevention</v>
      </c>
      <c r="E47" s="654" t="str">
        <f>IF(K37=2,"",O17)</f>
        <v/>
      </c>
      <c r="F47" s="703"/>
      <c r="H47" s="472"/>
      <c r="I47" s="472"/>
      <c r="J47" s="472"/>
      <c r="M47" s="472"/>
      <c r="N47" s="472"/>
      <c r="O47" s="472"/>
      <c r="P47" s="472"/>
      <c r="Q47" s="472"/>
      <c r="AA47" s="463">
        <v>40</v>
      </c>
      <c r="AB47" s="463" t="s">
        <v>173</v>
      </c>
      <c r="AC47" s="463">
        <v>40</v>
      </c>
      <c r="AD47" s="463">
        <v>160</v>
      </c>
      <c r="AE47" s="463" t="s">
        <v>167</v>
      </c>
      <c r="AF47" s="463" t="s">
        <v>167</v>
      </c>
      <c r="AG47" s="463" t="s">
        <v>167</v>
      </c>
      <c r="AH47" s="463">
        <v>9.1999999999999993</v>
      </c>
      <c r="AI47" s="463">
        <v>0.9</v>
      </c>
      <c r="AJ47" s="572"/>
    </row>
    <row r="48" spans="4:36" ht="18" x14ac:dyDescent="0.25">
      <c r="D48" s="655" t="str">
        <f>IF(AL14="N","FRAMINGHAM Risk ideal (BP 120, Cholesterol 4.0, HDL 1.5)","")</f>
        <v>FRAMINGHAM Risk ideal (BP 120, Cholesterol 4.0, HDL 1.5)</v>
      </c>
      <c r="E48" s="654">
        <f>IF(AL14="N",'Rechner Ideal'!F17,"")</f>
        <v>11.803050239041191</v>
      </c>
      <c r="F48" s="703"/>
      <c r="H48" s="472"/>
      <c r="I48" s="472"/>
      <c r="J48" s="472"/>
      <c r="L48" s="559" t="s">
        <v>1</v>
      </c>
      <c r="M48" s="472"/>
      <c r="N48" s="472"/>
      <c r="O48" s="472"/>
      <c r="P48" s="472"/>
      <c r="Q48" s="472"/>
      <c r="AA48" s="463">
        <v>41</v>
      </c>
      <c r="AB48" s="463" t="s">
        <v>166</v>
      </c>
      <c r="AC48" s="463">
        <v>65</v>
      </c>
      <c r="AD48" s="463">
        <v>140</v>
      </c>
      <c r="AE48" s="463" t="s">
        <v>525</v>
      </c>
      <c r="AF48" s="463" t="s">
        <v>525</v>
      </c>
      <c r="AG48" s="463" t="s">
        <v>525</v>
      </c>
      <c r="AH48" s="463">
        <v>9.1999999999999993</v>
      </c>
      <c r="AI48" s="463">
        <v>0.9</v>
      </c>
    </row>
    <row r="49" spans="4:46" ht="18" x14ac:dyDescent="0.25">
      <c r="D49" s="655" t="s">
        <v>529</v>
      </c>
      <c r="E49" s="654">
        <f>IFERROR((E44-E48)/E44*100,"")</f>
        <v>84.500405213475062</v>
      </c>
      <c r="F49" s="704"/>
      <c r="H49" s="472"/>
      <c r="I49" s="472"/>
      <c r="J49" s="472"/>
      <c r="L49" s="472" t="s">
        <v>329</v>
      </c>
      <c r="M49" s="472"/>
      <c r="N49" s="472"/>
      <c r="O49" s="472"/>
      <c r="P49" s="472"/>
      <c r="Q49" s="472"/>
      <c r="AA49" s="463">
        <v>42</v>
      </c>
      <c r="AB49" s="463" t="s">
        <v>166</v>
      </c>
      <c r="AC49" s="463">
        <v>40</v>
      </c>
      <c r="AD49" s="463">
        <v>140</v>
      </c>
      <c r="AE49" s="463" t="s">
        <v>167</v>
      </c>
      <c r="AF49" s="463" t="s">
        <v>167</v>
      </c>
      <c r="AG49" s="463" t="s">
        <v>525</v>
      </c>
      <c r="AH49" s="463">
        <v>6.1</v>
      </c>
      <c r="AI49" s="463">
        <v>0.9</v>
      </c>
    </row>
    <row r="50" spans="4:46" ht="38.25" customHeight="1" x14ac:dyDescent="0.25">
      <c r="D50" s="792" t="str">
        <f>IF(OR(E18&gt;=80,E19&gt;=100),"This patient is categorized as high risk due to atherosclerosis","This patient is categorized as "&amp;VLOOKUP(N23,N25:R28,5,FALSE)&amp;" risk by FRAMINGHAM")</f>
        <v>This patient is categorized as very high risk by FRAMINGHAM</v>
      </c>
      <c r="E50" s="792"/>
      <c r="H50" s="472"/>
      <c r="L50" s="472" t="s">
        <v>330</v>
      </c>
      <c r="M50" s="472"/>
      <c r="N50" s="472"/>
      <c r="O50" s="472"/>
      <c r="P50" s="472"/>
      <c r="Q50" s="472"/>
      <c r="AA50" s="463">
        <v>43</v>
      </c>
      <c r="AB50" s="463" t="s">
        <v>173</v>
      </c>
      <c r="AC50" s="463">
        <v>40</v>
      </c>
      <c r="AD50" s="463">
        <v>140</v>
      </c>
      <c r="AE50" s="463" t="s">
        <v>525</v>
      </c>
      <c r="AF50" s="463" t="s">
        <v>167</v>
      </c>
      <c r="AG50" s="463" t="s">
        <v>167</v>
      </c>
      <c r="AH50" s="463">
        <v>9.1999999999999993</v>
      </c>
      <c r="AI50" s="463">
        <v>0.9</v>
      </c>
    </row>
    <row r="51" spans="4:46" ht="43.5" customHeight="1" x14ac:dyDescent="0.25">
      <c r="D51" s="792" t="str">
        <f>G7</f>
        <v/>
      </c>
      <c r="E51" s="792"/>
      <c r="H51" s="472"/>
      <c r="L51" s="667" t="str">
        <f>IF(M30=10,"Xarelto vascular may be indicated, check bleeding risk",IF(AND(E45&lt;5,E46&lt;20),"No apparent indication for Xarelto vascular",IF(OR(E137&gt;=1,I63&gt;=2),"No apparent indication for Xarelto vascular","Xarelto vascular may be indicated, check bleeding risk")))</f>
        <v>Xarelto vascular may be indicated, check bleeding risk</v>
      </c>
      <c r="M51" s="472"/>
      <c r="N51" s="472"/>
      <c r="O51" s="472"/>
      <c r="P51" s="472"/>
      <c r="Q51" s="472"/>
      <c r="AA51" s="463">
        <v>44</v>
      </c>
      <c r="AB51" s="463" t="s">
        <v>173</v>
      </c>
      <c r="AC51" s="463">
        <v>65</v>
      </c>
      <c r="AD51" s="463">
        <v>140</v>
      </c>
      <c r="AE51" s="463" t="s">
        <v>525</v>
      </c>
      <c r="AF51" s="463" t="s">
        <v>525</v>
      </c>
      <c r="AG51" s="463" t="s">
        <v>525</v>
      </c>
      <c r="AH51" s="463">
        <v>6.1</v>
      </c>
      <c r="AI51" s="463">
        <v>0.9</v>
      </c>
    </row>
    <row r="52" spans="4:46" ht="18" x14ac:dyDescent="0.25">
      <c r="D52" s="655" t="str">
        <f>L20</f>
        <v>Xarelto vascular may be indicated</v>
      </c>
      <c r="E52" s="656"/>
      <c r="H52" s="472"/>
      <c r="L52" s="472" t="s">
        <v>321</v>
      </c>
      <c r="M52" s="472"/>
      <c r="N52" s="472"/>
      <c r="O52" s="472"/>
      <c r="P52" s="472"/>
      <c r="Q52" s="472"/>
      <c r="AA52" s="463">
        <v>45</v>
      </c>
      <c r="AB52" s="463" t="s">
        <v>166</v>
      </c>
      <c r="AC52" s="463">
        <v>65</v>
      </c>
      <c r="AD52" s="463">
        <v>140</v>
      </c>
      <c r="AE52" s="463" t="s">
        <v>525</v>
      </c>
      <c r="AF52" s="463" t="s">
        <v>525</v>
      </c>
      <c r="AG52" s="463" t="s">
        <v>167</v>
      </c>
      <c r="AH52" s="463">
        <v>9.1999999999999993</v>
      </c>
      <c r="AI52" s="463">
        <v>1.9</v>
      </c>
    </row>
    <row r="53" spans="4:46" ht="18" x14ac:dyDescent="0.25">
      <c r="D53" s="652" t="str">
        <f>IF(E17&gt;M24,"LDL goal of "&amp;TEXT(M24,"0.0")&amp;" mmol/l not reached","LDL goal of "&amp;TEXT(M24,"0.0")&amp;" reached")</f>
        <v>LDL goal of 1.4 mmol/l not reached</v>
      </c>
      <c r="E53" s="656"/>
      <c r="G53" s="172" t="s">
        <v>1</v>
      </c>
      <c r="H53" s="472"/>
      <c r="I53" s="472"/>
      <c r="J53" s="472"/>
      <c r="L53" s="472" t="s">
        <v>309</v>
      </c>
      <c r="M53" s="472"/>
      <c r="N53" s="472"/>
      <c r="O53" s="472"/>
      <c r="P53" s="472"/>
      <c r="Q53" s="472"/>
      <c r="AA53" s="463">
        <v>46</v>
      </c>
      <c r="AB53" s="463" t="s">
        <v>166</v>
      </c>
      <c r="AC53" s="463">
        <v>65</v>
      </c>
      <c r="AD53" s="463">
        <v>160</v>
      </c>
      <c r="AE53" s="463" t="s">
        <v>167</v>
      </c>
      <c r="AF53" s="463" t="s">
        <v>525</v>
      </c>
      <c r="AG53" s="463" t="s">
        <v>525</v>
      </c>
      <c r="AH53" s="463">
        <v>6.1</v>
      </c>
      <c r="AI53" s="463">
        <v>0.9</v>
      </c>
    </row>
    <row r="54" spans="4:46" ht="47.25" customHeight="1" x14ac:dyDescent="0.25">
      <c r="D54" s="652" t="str">
        <f>IF(E11&gt;130,"Blood pressure goal NOT reached","Blood pressure goal reached")</f>
        <v>Blood pressure goal NOT reached</v>
      </c>
      <c r="E54" s="656"/>
      <c r="F54" s="703"/>
      <c r="G54" s="627"/>
      <c r="H54" s="472"/>
      <c r="I54" s="472"/>
      <c r="J54" s="472"/>
      <c r="L54" s="472" t="s">
        <v>320</v>
      </c>
      <c r="M54" s="472"/>
      <c r="N54" s="472"/>
      <c r="O54" s="472"/>
      <c r="P54" s="472"/>
      <c r="Q54" s="472"/>
      <c r="AA54" s="463">
        <v>47</v>
      </c>
      <c r="AB54" s="463" t="s">
        <v>173</v>
      </c>
      <c r="AC54" s="463">
        <v>65</v>
      </c>
      <c r="AD54" s="463">
        <v>140</v>
      </c>
      <c r="AE54" s="463" t="s">
        <v>167</v>
      </c>
      <c r="AF54" s="463" t="s">
        <v>525</v>
      </c>
      <c r="AG54" s="463" t="s">
        <v>167</v>
      </c>
      <c r="AH54" s="463">
        <v>6.1</v>
      </c>
      <c r="AI54" s="463">
        <v>1.9</v>
      </c>
    </row>
    <row r="55" spans="4:46" ht="36.75" customHeight="1" x14ac:dyDescent="0.25">
      <c r="D55" s="618" t="s">
        <v>569</v>
      </c>
      <c r="E55" s="619"/>
      <c r="F55" s="703"/>
      <c r="H55" s="472"/>
      <c r="I55" s="472"/>
      <c r="J55" s="472"/>
      <c r="L55" s="472" t="s">
        <v>1</v>
      </c>
      <c r="M55" s="472"/>
      <c r="N55" s="472"/>
      <c r="O55" s="472"/>
      <c r="P55" s="472"/>
      <c r="Q55" s="472"/>
      <c r="AA55" s="463">
        <v>48</v>
      </c>
      <c r="AB55" s="463" t="s">
        <v>173</v>
      </c>
      <c r="AC55" s="463">
        <v>40</v>
      </c>
      <c r="AD55" s="463">
        <v>160</v>
      </c>
      <c r="AE55" s="463" t="s">
        <v>525</v>
      </c>
      <c r="AF55" s="463" t="s">
        <v>525</v>
      </c>
      <c r="AG55" s="463" t="s">
        <v>525</v>
      </c>
      <c r="AH55" s="463">
        <v>9.1999999999999993</v>
      </c>
      <c r="AI55" s="463">
        <v>0.9</v>
      </c>
    </row>
    <row r="56" spans="4:46" ht="18.75" customHeight="1" x14ac:dyDescent="0.25">
      <c r="D56" s="648" t="s">
        <v>593</v>
      </c>
      <c r="E56" s="602"/>
      <c r="H56" s="472"/>
      <c r="I56" s="472"/>
      <c r="J56" s="472"/>
      <c r="L56" s="472" t="s">
        <v>345</v>
      </c>
      <c r="M56" s="472"/>
      <c r="N56" s="472"/>
      <c r="O56" s="472"/>
      <c r="P56" s="472"/>
      <c r="Q56" s="472"/>
      <c r="V56" s="482"/>
      <c r="W56" s="482"/>
      <c r="X56" s="482"/>
      <c r="Y56" s="482"/>
      <c r="Z56" s="482"/>
      <c r="AA56" s="482">
        <v>49</v>
      </c>
      <c r="AB56" s="482" t="s">
        <v>173</v>
      </c>
      <c r="AC56" s="482">
        <v>65</v>
      </c>
      <c r="AD56" s="482">
        <v>140</v>
      </c>
      <c r="AE56" s="482" t="s">
        <v>525</v>
      </c>
      <c r="AF56" s="482" t="s">
        <v>525</v>
      </c>
      <c r="AG56" s="482" t="s">
        <v>167</v>
      </c>
      <c r="AH56" s="482">
        <v>6.1</v>
      </c>
      <c r="AI56" s="482">
        <v>0.9</v>
      </c>
      <c r="AJ56" s="482"/>
      <c r="AK56" s="482"/>
      <c r="AL56" s="482"/>
      <c r="AM56" s="482"/>
      <c r="AN56" s="482"/>
      <c r="AO56" s="482"/>
      <c r="AP56" s="482"/>
      <c r="AQ56" s="482"/>
      <c r="AR56" s="482"/>
      <c r="AS56" s="482"/>
      <c r="AT56" s="482"/>
    </row>
    <row r="57" spans="4:46" ht="18.75" customHeight="1" x14ac:dyDescent="0.25">
      <c r="D57" s="651" t="s">
        <v>597</v>
      </c>
      <c r="E57" s="601">
        <f>IFERROR(IF(E17&gt;M24,(E17-M24)*0.2,"")*100,"")</f>
        <v>30.000000000000004</v>
      </c>
      <c r="F57" s="705"/>
      <c r="H57" s="472"/>
      <c r="I57" s="472"/>
      <c r="J57" s="472"/>
      <c r="L57" s="472" t="s">
        <v>328</v>
      </c>
      <c r="M57" s="472"/>
      <c r="N57" s="472"/>
      <c r="O57" s="472"/>
      <c r="P57" s="472"/>
      <c r="Q57" s="472"/>
      <c r="AA57" s="463">
        <v>50</v>
      </c>
      <c r="AB57" s="463" t="s">
        <v>173</v>
      </c>
      <c r="AC57" s="463">
        <v>65</v>
      </c>
      <c r="AD57" s="463">
        <v>140</v>
      </c>
      <c r="AE57" s="463" t="s">
        <v>525</v>
      </c>
      <c r="AF57" s="463" t="s">
        <v>167</v>
      </c>
      <c r="AG57" s="463" t="s">
        <v>167</v>
      </c>
      <c r="AH57" s="463">
        <v>6.1</v>
      </c>
      <c r="AI57" s="463">
        <v>1.9</v>
      </c>
    </row>
    <row r="58" spans="4:46" ht="18.75" customHeight="1" x14ac:dyDescent="0.25">
      <c r="D58" s="651" t="s">
        <v>596</v>
      </c>
      <c r="E58" s="601">
        <f>IF(LEFT(D52,1)="x",24,0)</f>
        <v>24</v>
      </c>
      <c r="F58" s="706"/>
      <c r="G58" s="646" t="s">
        <v>1</v>
      </c>
      <c r="H58" s="472"/>
      <c r="I58" s="472"/>
      <c r="J58" s="472"/>
      <c r="M58" s="472"/>
      <c r="N58" s="472"/>
      <c r="O58" s="472"/>
      <c r="P58" s="472"/>
      <c r="Q58" s="472"/>
      <c r="AA58" s="463">
        <v>51</v>
      </c>
      <c r="AB58" s="463" t="s">
        <v>166</v>
      </c>
      <c r="AC58" s="463">
        <v>40</v>
      </c>
      <c r="AD58" s="463">
        <v>140</v>
      </c>
      <c r="AE58" s="463" t="s">
        <v>167</v>
      </c>
      <c r="AF58" s="463" t="s">
        <v>525</v>
      </c>
      <c r="AG58" s="463" t="s">
        <v>525</v>
      </c>
      <c r="AH58" s="463">
        <v>6.1</v>
      </c>
      <c r="AI58" s="463">
        <v>1.9</v>
      </c>
    </row>
    <row r="59" spans="4:46" ht="18.75" customHeight="1" x14ac:dyDescent="0.25">
      <c r="D59" s="651" t="s">
        <v>595</v>
      </c>
      <c r="E59" s="601">
        <f>IFERROR(IF(E58="","",E58)+IF(E57="","",E57),"")</f>
        <v>54</v>
      </c>
      <c r="F59" s="706"/>
      <c r="H59" s="472"/>
      <c r="I59" s="472"/>
      <c r="J59" s="472"/>
      <c r="M59" s="472"/>
      <c r="N59" s="472"/>
      <c r="O59" s="472"/>
      <c r="P59" s="472"/>
      <c r="Q59" s="472"/>
      <c r="AA59" s="463">
        <v>52</v>
      </c>
      <c r="AB59" s="463" t="s">
        <v>173</v>
      </c>
      <c r="AC59" s="463">
        <v>40</v>
      </c>
      <c r="AD59" s="463">
        <v>160</v>
      </c>
      <c r="AE59" s="463" t="s">
        <v>525</v>
      </c>
      <c r="AF59" s="463" t="s">
        <v>167</v>
      </c>
      <c r="AG59" s="463" t="s">
        <v>167</v>
      </c>
      <c r="AH59" s="463">
        <v>9.1999999999999993</v>
      </c>
      <c r="AI59" s="463">
        <v>0.9</v>
      </c>
    </row>
    <row r="60" spans="4:46" ht="18.75" customHeight="1" x14ac:dyDescent="0.25">
      <c r="D60" s="651" t="s">
        <v>598</v>
      </c>
      <c r="E60" s="659">
        <f>IFERROR(IF(M33=20,H9-((H9*(E59/100))),H9-((H9*(E59/100)))),"")</f>
        <v>35.029322925778516</v>
      </c>
      <c r="F60" s="706"/>
      <c r="H60" s="472"/>
      <c r="I60" s="472"/>
      <c r="J60" s="472"/>
      <c r="K60" s="472"/>
      <c r="L60" s="472"/>
      <c r="M60" s="472"/>
      <c r="N60" s="472"/>
      <c r="O60" s="472"/>
      <c r="P60" s="472"/>
      <c r="Q60" s="472"/>
      <c r="AA60" s="463">
        <v>53</v>
      </c>
      <c r="AB60" s="463" t="s">
        <v>173</v>
      </c>
      <c r="AC60" s="463">
        <v>65</v>
      </c>
      <c r="AD60" s="463">
        <v>140</v>
      </c>
      <c r="AE60" s="463" t="s">
        <v>525</v>
      </c>
      <c r="AF60" s="463" t="s">
        <v>525</v>
      </c>
      <c r="AG60" s="463" t="s">
        <v>525</v>
      </c>
      <c r="AH60" s="463">
        <v>9.1999999999999993</v>
      </c>
      <c r="AI60" s="463">
        <v>1.9</v>
      </c>
    </row>
    <row r="61" spans="4:46" ht="18.75" customHeight="1" x14ac:dyDescent="0.25">
      <c r="D61" s="617" t="s">
        <v>561</v>
      </c>
      <c r="E61" s="602"/>
      <c r="F61" s="706"/>
      <c r="H61" s="472"/>
      <c r="I61" s="472"/>
      <c r="J61" s="472"/>
      <c r="K61" s="472"/>
      <c r="M61" s="472"/>
      <c r="N61" s="472"/>
      <c r="O61" s="472"/>
      <c r="P61" s="472"/>
      <c r="Q61" s="472"/>
      <c r="AA61" s="463">
        <v>54</v>
      </c>
      <c r="AB61" s="463" t="s">
        <v>173</v>
      </c>
      <c r="AC61" s="463">
        <v>40</v>
      </c>
      <c r="AD61" s="463">
        <v>160</v>
      </c>
      <c r="AE61" s="463" t="s">
        <v>167</v>
      </c>
      <c r="AF61" s="463" t="s">
        <v>525</v>
      </c>
      <c r="AG61" s="463" t="s">
        <v>167</v>
      </c>
      <c r="AH61" s="463">
        <v>6.1</v>
      </c>
      <c r="AI61" s="463">
        <v>0.9</v>
      </c>
    </row>
    <row r="62" spans="4:46" ht="18.75" customHeight="1" x14ac:dyDescent="0.25">
      <c r="D62" s="573" t="str">
        <f>L18</f>
        <v>Kreatinin Clearance ml/min Cockcroft</v>
      </c>
      <c r="E62" s="597">
        <f>O18</f>
        <v>51.364799999999995</v>
      </c>
      <c r="F62" s="706"/>
      <c r="H62" s="472"/>
      <c r="I62" s="472"/>
      <c r="J62" s="472"/>
      <c r="K62" s="493"/>
      <c r="M62" s="472"/>
      <c r="N62" s="472"/>
      <c r="O62" s="472"/>
      <c r="P62" s="472"/>
      <c r="Q62" s="472"/>
      <c r="AA62" s="463">
        <v>55</v>
      </c>
      <c r="AB62" s="463" t="s">
        <v>173</v>
      </c>
      <c r="AC62" s="463">
        <v>40</v>
      </c>
      <c r="AD62" s="463">
        <v>160</v>
      </c>
      <c r="AE62" s="463" t="s">
        <v>525</v>
      </c>
      <c r="AF62" s="463" t="s">
        <v>167</v>
      </c>
      <c r="AG62" s="463" t="s">
        <v>167</v>
      </c>
      <c r="AH62" s="463">
        <v>9.1999999999999993</v>
      </c>
      <c r="AI62" s="463">
        <v>1.9</v>
      </c>
    </row>
    <row r="63" spans="4:46" ht="18" customHeight="1" x14ac:dyDescent="0.25">
      <c r="D63" s="573" t="str">
        <f>L19</f>
        <v>Body Mass Index BMI</v>
      </c>
      <c r="E63" s="603">
        <f>O19</f>
        <v>20.069204152249139</v>
      </c>
      <c r="F63" s="706"/>
      <c r="H63" s="493"/>
      <c r="I63" s="493">
        <f>COUNTIF(B8:B98,1/6)</f>
        <v>1</v>
      </c>
      <c r="J63" s="493"/>
      <c r="K63" s="472"/>
      <c r="M63" s="472"/>
      <c r="N63" s="472"/>
      <c r="O63" s="472"/>
      <c r="P63" s="472"/>
      <c r="Q63" s="472"/>
      <c r="AA63" s="463">
        <v>56</v>
      </c>
      <c r="AB63" s="463" t="s">
        <v>173</v>
      </c>
      <c r="AC63" s="463">
        <v>65</v>
      </c>
      <c r="AD63" s="463">
        <v>160</v>
      </c>
      <c r="AE63" s="463" t="s">
        <v>167</v>
      </c>
      <c r="AF63" s="463" t="s">
        <v>167</v>
      </c>
      <c r="AG63" s="463" t="s">
        <v>167</v>
      </c>
      <c r="AH63" s="463">
        <v>9.1999999999999993</v>
      </c>
      <c r="AI63" s="463">
        <v>0.9</v>
      </c>
    </row>
    <row r="64" spans="4:46" ht="16.5" customHeight="1" x14ac:dyDescent="0.25">
      <c r="D64" s="573" t="s">
        <v>517</v>
      </c>
      <c r="E64" s="597">
        <f>HTA!D20</f>
        <v>-45714.476490454137</v>
      </c>
      <c r="F64" s="703"/>
      <c r="H64" s="472"/>
      <c r="I64" s="472"/>
      <c r="J64" s="472"/>
      <c r="K64" s="472"/>
      <c r="M64" s="472"/>
      <c r="N64" s="472"/>
      <c r="O64" s="472"/>
      <c r="P64" s="472"/>
      <c r="Q64" s="472"/>
    </row>
    <row r="65" spans="1:36" ht="23.1" customHeight="1" x14ac:dyDescent="0.25">
      <c r="D65" s="573" t="s">
        <v>518</v>
      </c>
      <c r="E65" s="597">
        <f>HTA!E20</f>
        <v>-44822.975227135314</v>
      </c>
      <c r="H65" s="493"/>
      <c r="I65" s="472"/>
      <c r="J65" s="472"/>
      <c r="K65" s="472"/>
      <c r="M65" s="472"/>
      <c r="N65" s="472"/>
      <c r="O65" s="472"/>
      <c r="P65" s="472"/>
      <c r="Q65" s="472"/>
    </row>
    <row r="66" spans="1:36" ht="14.25" customHeight="1" x14ac:dyDescent="0.25">
      <c r="D66" s="573" t="s">
        <v>519</v>
      </c>
      <c r="E66" s="597">
        <f>HTA!F20</f>
        <v>-35629.837605526824</v>
      </c>
      <c r="H66" s="472"/>
      <c r="I66" s="472"/>
      <c r="J66" s="472"/>
      <c r="K66" s="472"/>
    </row>
    <row r="67" spans="1:36" ht="14.25" customHeight="1" x14ac:dyDescent="0.2">
      <c r="A67" s="472"/>
      <c r="D67" s="573" t="s">
        <v>520</v>
      </c>
      <c r="E67" s="597">
        <f>HTA!G20</f>
        <v>30730.938488457876</v>
      </c>
      <c r="F67" s="707"/>
      <c r="G67" s="573"/>
      <c r="H67" s="472"/>
      <c r="I67" s="472"/>
      <c r="J67" s="472"/>
      <c r="AA67" s="463">
        <v>60</v>
      </c>
      <c r="AB67" s="463" t="s">
        <v>173</v>
      </c>
      <c r="AC67" s="463">
        <v>40</v>
      </c>
      <c r="AD67" s="463">
        <v>160</v>
      </c>
      <c r="AE67" s="463" t="s">
        <v>525</v>
      </c>
      <c r="AF67" s="463" t="s">
        <v>167</v>
      </c>
      <c r="AG67" s="463" t="s">
        <v>167</v>
      </c>
      <c r="AH67" s="463">
        <v>6.1</v>
      </c>
      <c r="AI67" s="463">
        <v>0.9</v>
      </c>
    </row>
    <row r="68" spans="1:36" ht="14.25" customHeight="1" x14ac:dyDescent="0.25">
      <c r="D68" s="573" t="s">
        <v>521</v>
      </c>
      <c r="E68" s="597">
        <f>HTA!H20</f>
        <v>33198.615345409955</v>
      </c>
      <c r="AA68" s="463">
        <v>61</v>
      </c>
      <c r="AB68" s="463" t="s">
        <v>166</v>
      </c>
      <c r="AC68" s="463">
        <v>65</v>
      </c>
      <c r="AD68" s="463">
        <v>160</v>
      </c>
      <c r="AE68" s="463" t="s">
        <v>525</v>
      </c>
      <c r="AF68" s="463" t="s">
        <v>525</v>
      </c>
      <c r="AG68" s="463" t="s">
        <v>167</v>
      </c>
      <c r="AH68" s="463">
        <v>9.1999999999999993</v>
      </c>
      <c r="AI68" s="463">
        <v>0.9</v>
      </c>
    </row>
    <row r="69" spans="1:36" ht="14.25" customHeight="1" x14ac:dyDescent="0.25">
      <c r="D69" s="573" t="s">
        <v>522</v>
      </c>
      <c r="E69" s="597">
        <f>HTA!I20</f>
        <v>-178572.76864137896</v>
      </c>
      <c r="AA69" s="463">
        <v>62</v>
      </c>
      <c r="AB69" s="463" t="s">
        <v>173</v>
      </c>
      <c r="AC69" s="463">
        <v>65</v>
      </c>
      <c r="AD69" s="463">
        <v>160</v>
      </c>
      <c r="AE69" s="463" t="s">
        <v>525</v>
      </c>
      <c r="AF69" s="463" t="s">
        <v>167</v>
      </c>
      <c r="AG69" s="463" t="s">
        <v>525</v>
      </c>
      <c r="AH69" s="463">
        <v>6.1</v>
      </c>
      <c r="AI69" s="463">
        <v>0.9</v>
      </c>
    </row>
    <row r="70" spans="1:36" ht="14.25" customHeight="1" x14ac:dyDescent="0.25">
      <c r="AA70" s="463">
        <v>63</v>
      </c>
      <c r="AB70" s="463" t="s">
        <v>173</v>
      </c>
      <c r="AC70" s="463">
        <v>65</v>
      </c>
      <c r="AD70" s="463">
        <v>160</v>
      </c>
      <c r="AE70" s="463" t="s">
        <v>167</v>
      </c>
      <c r="AF70" s="463" t="s">
        <v>167</v>
      </c>
      <c r="AG70" s="463" t="s">
        <v>167</v>
      </c>
      <c r="AH70" s="463">
        <v>6.1</v>
      </c>
      <c r="AI70" s="463">
        <v>1.9</v>
      </c>
    </row>
    <row r="71" spans="1:36" ht="14.25" customHeight="1" x14ac:dyDescent="0.25">
      <c r="F71" s="708"/>
      <c r="H71" s="146"/>
      <c r="AA71" s="463">
        <v>64</v>
      </c>
      <c r="AB71" s="463" t="s">
        <v>166</v>
      </c>
      <c r="AC71" s="463">
        <v>40</v>
      </c>
      <c r="AD71" s="463">
        <v>160</v>
      </c>
      <c r="AE71" s="463" t="s">
        <v>167</v>
      </c>
      <c r="AF71" s="463" t="s">
        <v>167</v>
      </c>
      <c r="AG71" s="463" t="s">
        <v>167</v>
      </c>
      <c r="AH71" s="463">
        <v>9.1999999999999993</v>
      </c>
      <c r="AI71" s="463">
        <v>1.9</v>
      </c>
    </row>
    <row r="72" spans="1:36" ht="14.25" customHeight="1" x14ac:dyDescent="0.25">
      <c r="F72" s="708"/>
      <c r="H72" s="146"/>
      <c r="AA72" s="463">
        <v>65</v>
      </c>
      <c r="AB72" s="463" t="s">
        <v>166</v>
      </c>
      <c r="AC72" s="463">
        <v>40</v>
      </c>
      <c r="AD72" s="463">
        <v>160</v>
      </c>
      <c r="AE72" s="463" t="s">
        <v>525</v>
      </c>
      <c r="AF72" s="463" t="s">
        <v>525</v>
      </c>
      <c r="AG72" s="463" t="s">
        <v>167</v>
      </c>
      <c r="AH72" s="463">
        <v>9.1999999999999993</v>
      </c>
      <c r="AI72" s="463">
        <v>1.9</v>
      </c>
    </row>
    <row r="73" spans="1:36" ht="14.25" customHeight="1" x14ac:dyDescent="0.25">
      <c r="F73" s="708"/>
      <c r="H73" s="146"/>
      <c r="AA73" s="463">
        <v>66</v>
      </c>
      <c r="AB73" s="463" t="s">
        <v>173</v>
      </c>
      <c r="AC73" s="463">
        <v>40</v>
      </c>
      <c r="AD73" s="463">
        <v>140</v>
      </c>
      <c r="AE73" s="463" t="s">
        <v>167</v>
      </c>
      <c r="AF73" s="463" t="s">
        <v>167</v>
      </c>
      <c r="AG73" s="463" t="s">
        <v>525</v>
      </c>
      <c r="AH73" s="463">
        <v>9.1999999999999993</v>
      </c>
      <c r="AI73" s="463">
        <v>0.9</v>
      </c>
      <c r="AJ73" s="495" t="str">
        <f>IF(AL14="N",IF(E105=1,IF(AND(E106="",E107="",E108=""),"","This patient is already at high risk by definition irrespective from numeric results due to: "&amp;E106&amp;D107&amp;E107),""),"")</f>
        <v xml:space="preserve">This patient is already at high risk by definition irrespective from numeric results due to: </v>
      </c>
    </row>
    <row r="74" spans="1:36" ht="14.25" customHeight="1" x14ac:dyDescent="0.25">
      <c r="F74" s="708"/>
      <c r="H74" s="146"/>
      <c r="AA74" s="463">
        <v>67</v>
      </c>
      <c r="AB74" s="463" t="s">
        <v>166</v>
      </c>
      <c r="AC74" s="463">
        <v>65</v>
      </c>
      <c r="AD74" s="463">
        <v>140</v>
      </c>
      <c r="AE74" s="463" t="s">
        <v>167</v>
      </c>
      <c r="AF74" s="463" t="s">
        <v>525</v>
      </c>
      <c r="AG74" s="463" t="s">
        <v>167</v>
      </c>
      <c r="AH74" s="463">
        <v>9.1999999999999993</v>
      </c>
      <c r="AI74" s="463">
        <v>0.9</v>
      </c>
    </row>
    <row r="75" spans="1:36" ht="14.25" customHeight="1" x14ac:dyDescent="0.25">
      <c r="F75" s="708"/>
      <c r="H75" s="461"/>
      <c r="AA75" s="463">
        <v>68</v>
      </c>
      <c r="AB75" s="463" t="s">
        <v>166</v>
      </c>
      <c r="AC75" s="463">
        <v>40</v>
      </c>
      <c r="AD75" s="463">
        <v>160</v>
      </c>
      <c r="AE75" s="463" t="s">
        <v>167</v>
      </c>
      <c r="AF75" s="463" t="s">
        <v>525</v>
      </c>
      <c r="AG75" s="463" t="s">
        <v>525</v>
      </c>
      <c r="AH75" s="463">
        <v>9.1999999999999993</v>
      </c>
      <c r="AI75" s="463">
        <v>0.9</v>
      </c>
    </row>
    <row r="76" spans="1:36" ht="14.25" customHeight="1" x14ac:dyDescent="0.25">
      <c r="AA76" s="463">
        <v>69</v>
      </c>
      <c r="AB76" s="463" t="s">
        <v>166</v>
      </c>
      <c r="AC76" s="463">
        <v>65</v>
      </c>
      <c r="AD76" s="463">
        <v>140</v>
      </c>
      <c r="AE76" s="463" t="s">
        <v>167</v>
      </c>
      <c r="AF76" s="463" t="s">
        <v>525</v>
      </c>
      <c r="AG76" s="463" t="s">
        <v>525</v>
      </c>
      <c r="AH76" s="463">
        <v>6.1</v>
      </c>
      <c r="AI76" s="463">
        <v>1.9</v>
      </c>
    </row>
    <row r="77" spans="1:36" ht="14.25" customHeight="1" x14ac:dyDescent="0.25">
      <c r="AA77" s="463">
        <v>70</v>
      </c>
      <c r="AB77" s="463" t="s">
        <v>173</v>
      </c>
      <c r="AC77" s="463">
        <v>40</v>
      </c>
      <c r="AD77" s="463">
        <v>140</v>
      </c>
      <c r="AE77" s="463" t="s">
        <v>525</v>
      </c>
      <c r="AF77" s="463" t="s">
        <v>525</v>
      </c>
      <c r="AG77" s="463" t="s">
        <v>167</v>
      </c>
      <c r="AH77" s="463">
        <v>9.1999999999999993</v>
      </c>
      <c r="AI77" s="463">
        <v>0.9</v>
      </c>
    </row>
    <row r="78" spans="1:36" ht="14.25" customHeight="1" x14ac:dyDescent="0.25">
      <c r="AA78" s="463">
        <v>71</v>
      </c>
      <c r="AB78" s="463" t="s">
        <v>166</v>
      </c>
      <c r="AC78" s="463">
        <v>65</v>
      </c>
      <c r="AD78" s="463">
        <v>140</v>
      </c>
      <c r="AE78" s="463" t="s">
        <v>167</v>
      </c>
      <c r="AF78" s="463" t="s">
        <v>525</v>
      </c>
      <c r="AG78" s="463" t="s">
        <v>167</v>
      </c>
      <c r="AH78" s="463">
        <v>9.1999999999999993</v>
      </c>
      <c r="AI78" s="463">
        <v>1.9</v>
      </c>
    </row>
    <row r="79" spans="1:36" ht="14.25" customHeight="1" x14ac:dyDescent="0.25">
      <c r="AA79" s="463">
        <v>72</v>
      </c>
      <c r="AB79" s="463" t="s">
        <v>173</v>
      </c>
      <c r="AC79" s="463">
        <v>65</v>
      </c>
      <c r="AD79" s="463">
        <v>140</v>
      </c>
      <c r="AE79" s="463" t="s">
        <v>167</v>
      </c>
      <c r="AF79" s="463" t="s">
        <v>167</v>
      </c>
      <c r="AG79" s="463" t="s">
        <v>167</v>
      </c>
      <c r="AH79" s="463">
        <v>9.1999999999999993</v>
      </c>
      <c r="AI79" s="463">
        <v>0.9</v>
      </c>
    </row>
    <row r="80" spans="1:36" ht="14.25" customHeight="1" x14ac:dyDescent="0.25">
      <c r="AA80" s="463">
        <v>73</v>
      </c>
      <c r="AB80" s="463" t="s">
        <v>166</v>
      </c>
      <c r="AC80" s="463">
        <v>40</v>
      </c>
      <c r="AD80" s="463">
        <v>160</v>
      </c>
      <c r="AE80" s="463" t="s">
        <v>167</v>
      </c>
      <c r="AF80" s="463" t="s">
        <v>525</v>
      </c>
      <c r="AG80" s="463" t="s">
        <v>525</v>
      </c>
      <c r="AH80" s="463">
        <v>6.1</v>
      </c>
      <c r="AI80" s="463">
        <v>1.9</v>
      </c>
    </row>
    <row r="81" spans="6:35" ht="14.25" customHeight="1" x14ac:dyDescent="0.25">
      <c r="AA81" s="463">
        <v>74</v>
      </c>
      <c r="AB81" s="463" t="s">
        <v>166</v>
      </c>
      <c r="AC81" s="463">
        <v>65</v>
      </c>
      <c r="AD81" s="463">
        <v>140</v>
      </c>
      <c r="AE81" s="463" t="s">
        <v>525</v>
      </c>
      <c r="AF81" s="463" t="s">
        <v>167</v>
      </c>
      <c r="AG81" s="463" t="s">
        <v>525</v>
      </c>
      <c r="AH81" s="463">
        <v>6.1</v>
      </c>
      <c r="AI81" s="463">
        <v>0.9</v>
      </c>
    </row>
    <row r="82" spans="6:35" ht="409.5" customHeight="1" x14ac:dyDescent="0.25">
      <c r="AA82" s="463">
        <v>75</v>
      </c>
      <c r="AB82" s="463" t="s">
        <v>166</v>
      </c>
      <c r="AC82" s="463">
        <v>65</v>
      </c>
      <c r="AD82" s="463">
        <v>160</v>
      </c>
      <c r="AE82" s="463" t="s">
        <v>167</v>
      </c>
      <c r="AF82" s="463" t="s">
        <v>525</v>
      </c>
      <c r="AG82" s="463" t="s">
        <v>167</v>
      </c>
      <c r="AH82" s="463">
        <v>6.1</v>
      </c>
      <c r="AI82" s="463">
        <v>1.9</v>
      </c>
    </row>
    <row r="83" spans="6:35" ht="14.25" customHeight="1" x14ac:dyDescent="0.25">
      <c r="F83" s="707"/>
      <c r="AA83" s="463">
        <v>76</v>
      </c>
      <c r="AB83" s="463" t="s">
        <v>173</v>
      </c>
      <c r="AC83" s="463">
        <v>40</v>
      </c>
      <c r="AD83" s="463">
        <v>160</v>
      </c>
      <c r="AE83" s="463" t="s">
        <v>525</v>
      </c>
      <c r="AF83" s="463" t="s">
        <v>525</v>
      </c>
      <c r="AG83" s="463" t="s">
        <v>525</v>
      </c>
      <c r="AH83" s="463">
        <v>9.1999999999999993</v>
      </c>
      <c r="AI83" s="463">
        <v>1.9</v>
      </c>
    </row>
    <row r="84" spans="6:35" ht="14.25" customHeight="1" x14ac:dyDescent="0.25">
      <c r="F84" s="707"/>
      <c r="AA84" s="463">
        <v>77</v>
      </c>
      <c r="AB84" s="463" t="s">
        <v>173</v>
      </c>
      <c r="AC84" s="463">
        <v>40</v>
      </c>
      <c r="AD84" s="463">
        <v>140</v>
      </c>
      <c r="AE84" s="463" t="s">
        <v>167</v>
      </c>
      <c r="AF84" s="463" t="s">
        <v>167</v>
      </c>
      <c r="AG84" s="463" t="s">
        <v>525</v>
      </c>
      <c r="AH84" s="463">
        <v>9.1999999999999993</v>
      </c>
      <c r="AI84" s="463">
        <v>1.9</v>
      </c>
    </row>
    <row r="85" spans="6:35" ht="14.25" customHeight="1" x14ac:dyDescent="0.25">
      <c r="F85" s="707"/>
      <c r="AA85" s="463">
        <v>78</v>
      </c>
      <c r="AB85" s="463" t="s">
        <v>166</v>
      </c>
      <c r="AC85" s="463">
        <v>40</v>
      </c>
      <c r="AD85" s="463">
        <v>160</v>
      </c>
      <c r="AE85" s="463" t="s">
        <v>167</v>
      </c>
      <c r="AF85" s="463" t="s">
        <v>525</v>
      </c>
      <c r="AG85" s="463" t="s">
        <v>525</v>
      </c>
      <c r="AH85" s="463">
        <v>9.1999999999999993</v>
      </c>
      <c r="AI85" s="463">
        <v>1.9</v>
      </c>
    </row>
    <row r="86" spans="6:35" ht="14.25" customHeight="1" x14ac:dyDescent="0.25">
      <c r="F86" s="707"/>
      <c r="AA86" s="463">
        <v>79</v>
      </c>
      <c r="AB86" s="463" t="s">
        <v>166</v>
      </c>
      <c r="AC86" s="463">
        <v>65</v>
      </c>
      <c r="AD86" s="463">
        <v>160</v>
      </c>
      <c r="AE86" s="463" t="s">
        <v>525</v>
      </c>
      <c r="AF86" s="463" t="s">
        <v>525</v>
      </c>
      <c r="AG86" s="463" t="s">
        <v>525</v>
      </c>
      <c r="AH86" s="463">
        <v>9.1999999999999993</v>
      </c>
      <c r="AI86" s="463">
        <v>1.9</v>
      </c>
    </row>
    <row r="87" spans="6:35" ht="14.25" customHeight="1" x14ac:dyDescent="0.25">
      <c r="F87" s="707"/>
      <c r="AA87" s="463">
        <v>80</v>
      </c>
      <c r="AB87" s="463" t="s">
        <v>166</v>
      </c>
      <c r="AC87" s="463">
        <v>65</v>
      </c>
      <c r="AD87" s="463">
        <v>140</v>
      </c>
      <c r="AE87" s="463" t="s">
        <v>167</v>
      </c>
      <c r="AF87" s="463" t="s">
        <v>167</v>
      </c>
      <c r="AG87" s="463" t="s">
        <v>525</v>
      </c>
      <c r="AH87" s="463">
        <v>6.1</v>
      </c>
      <c r="AI87" s="463">
        <v>0.9</v>
      </c>
    </row>
    <row r="88" spans="6:35" ht="14.25" customHeight="1" x14ac:dyDescent="0.25">
      <c r="F88" s="707"/>
      <c r="AA88" s="463">
        <v>81</v>
      </c>
      <c r="AB88" s="463" t="s">
        <v>173</v>
      </c>
      <c r="AC88" s="463">
        <v>65</v>
      </c>
      <c r="AD88" s="463">
        <v>160</v>
      </c>
      <c r="AE88" s="463" t="s">
        <v>525</v>
      </c>
      <c r="AF88" s="463" t="s">
        <v>167</v>
      </c>
      <c r="AG88" s="463" t="s">
        <v>167</v>
      </c>
      <c r="AH88" s="463">
        <v>6.1</v>
      </c>
      <c r="AI88" s="463">
        <v>1.9</v>
      </c>
    </row>
    <row r="89" spans="6:35" ht="14.25" customHeight="1" x14ac:dyDescent="0.25">
      <c r="F89" s="707"/>
      <c r="AA89" s="463">
        <v>82</v>
      </c>
      <c r="AB89" s="463" t="s">
        <v>173</v>
      </c>
      <c r="AC89" s="463">
        <v>40</v>
      </c>
      <c r="AD89" s="463">
        <v>140</v>
      </c>
      <c r="AE89" s="463" t="s">
        <v>167</v>
      </c>
      <c r="AF89" s="463" t="s">
        <v>525</v>
      </c>
      <c r="AG89" s="463" t="s">
        <v>525</v>
      </c>
      <c r="AH89" s="463">
        <v>9.1999999999999993</v>
      </c>
      <c r="AI89" s="463">
        <v>0.9</v>
      </c>
    </row>
    <row r="90" spans="6:35" ht="14.25" customHeight="1" x14ac:dyDescent="0.25">
      <c r="F90" s="707"/>
      <c r="M90" s="632" t="str">
        <f>IF(O5&gt;O27,IF(E17&gt;Q27,"LDL GOAL OF "&amp;Q27&amp;" NOT REACHED","LDL GOAL OF "&amp;Q27&amp;" REACHED"),IF(O5&gt;O26,IF(E17&gt;Q26,"LDL GOAL OF "&amp;Q26&amp;" NOT REACHED","LDL GOAL "&amp;Q26&amp;" REACHED"),IF(E17&lt;5,"LDL GOAL REACHED","LDL GOAL &lt; 5.0 NOT REACHED")))</f>
        <v>LDL GOAL OF 1.8 NOT REACHED</v>
      </c>
      <c r="N90" s="632"/>
      <c r="O90" s="631"/>
      <c r="AA90" s="463">
        <v>83</v>
      </c>
      <c r="AB90" s="463" t="s">
        <v>166</v>
      </c>
      <c r="AC90" s="463">
        <v>65</v>
      </c>
      <c r="AD90" s="463">
        <v>140</v>
      </c>
      <c r="AE90" s="463" t="s">
        <v>167</v>
      </c>
      <c r="AF90" s="463" t="s">
        <v>525</v>
      </c>
      <c r="AG90" s="463" t="s">
        <v>167</v>
      </c>
      <c r="AH90" s="463">
        <v>6.1</v>
      </c>
      <c r="AI90" s="463">
        <v>0.9</v>
      </c>
    </row>
    <row r="91" spans="6:35" ht="14.25" customHeight="1" x14ac:dyDescent="0.25">
      <c r="F91" s="707"/>
      <c r="L91" s="631" t="s">
        <v>1</v>
      </c>
      <c r="M91" s="632" t="str">
        <f>IF(E11&gt;130,"BLOOD PRESSURE GOAL NOT REACHED","BLOOD PRESSURE GOAL REACHED")</f>
        <v>BLOOD PRESSURE GOAL NOT REACHED</v>
      </c>
      <c r="N91" s="632"/>
      <c r="O91" s="571"/>
      <c r="AA91" s="463">
        <v>84</v>
      </c>
      <c r="AB91" s="463" t="s">
        <v>173</v>
      </c>
      <c r="AC91" s="463">
        <v>65</v>
      </c>
      <c r="AD91" s="463">
        <v>160</v>
      </c>
      <c r="AE91" s="463" t="s">
        <v>525</v>
      </c>
      <c r="AF91" s="463" t="s">
        <v>167</v>
      </c>
      <c r="AG91" s="463" t="s">
        <v>525</v>
      </c>
      <c r="AH91" s="463">
        <v>6.1</v>
      </c>
      <c r="AI91" s="463">
        <v>1.9</v>
      </c>
    </row>
    <row r="92" spans="6:35" ht="14.25" customHeight="1" x14ac:dyDescent="0.25">
      <c r="F92" s="707"/>
      <c r="L92" s="571" t="str">
        <f>IF(AL14="N","RECOMMENDATION PRIMARY CARE","RECOMMENDATION SECONDARY CARE")</f>
        <v>RECOMMENDATION PRIMARY CARE</v>
      </c>
      <c r="M92" s="632">
        <f>L17</f>
        <v>0</v>
      </c>
      <c r="N92" s="632"/>
      <c r="O92" s="559"/>
      <c r="AA92" s="463">
        <v>85</v>
      </c>
      <c r="AB92" s="463" t="s">
        <v>166</v>
      </c>
      <c r="AC92" s="463">
        <v>65</v>
      </c>
      <c r="AD92" s="463">
        <v>160</v>
      </c>
      <c r="AE92" s="463" t="s">
        <v>167</v>
      </c>
      <c r="AF92" s="463" t="s">
        <v>167</v>
      </c>
      <c r="AG92" s="463" t="s">
        <v>167</v>
      </c>
      <c r="AH92" s="463">
        <v>6.1</v>
      </c>
      <c r="AI92" s="463">
        <v>0.9</v>
      </c>
    </row>
    <row r="93" spans="6:35" ht="14.25" customHeight="1" x14ac:dyDescent="0.25">
      <c r="F93" s="707"/>
      <c r="L93" s="559"/>
      <c r="AA93" s="463">
        <v>86</v>
      </c>
      <c r="AB93" s="463" t="s">
        <v>166</v>
      </c>
      <c r="AC93" s="463">
        <v>65</v>
      </c>
      <c r="AD93" s="463">
        <v>140</v>
      </c>
      <c r="AE93" s="463" t="s">
        <v>525</v>
      </c>
      <c r="AF93" s="463" t="s">
        <v>167</v>
      </c>
      <c r="AG93" s="463" t="s">
        <v>167</v>
      </c>
      <c r="AH93" s="463">
        <v>9.1999999999999993</v>
      </c>
      <c r="AI93" s="463">
        <v>1.9</v>
      </c>
    </row>
    <row r="94" spans="6:35" ht="14.25" customHeight="1" x14ac:dyDescent="0.25">
      <c r="F94" s="707"/>
      <c r="AA94" s="463">
        <v>87</v>
      </c>
      <c r="AB94" s="463" t="s">
        <v>166</v>
      </c>
      <c r="AC94" s="463">
        <v>40</v>
      </c>
      <c r="AD94" s="463">
        <v>140</v>
      </c>
      <c r="AE94" s="463" t="s">
        <v>167</v>
      </c>
      <c r="AF94" s="463" t="s">
        <v>167</v>
      </c>
      <c r="AG94" s="463" t="s">
        <v>167</v>
      </c>
      <c r="AH94" s="463">
        <v>9.1999999999999993</v>
      </c>
      <c r="AI94" s="463">
        <v>0.9</v>
      </c>
    </row>
    <row r="95" spans="6:35" ht="14.25" customHeight="1" x14ac:dyDescent="0.25">
      <c r="F95" s="707"/>
      <c r="AA95" s="463">
        <v>88</v>
      </c>
      <c r="AB95" s="463" t="s">
        <v>166</v>
      </c>
      <c r="AC95" s="463">
        <v>40</v>
      </c>
      <c r="AD95" s="463">
        <v>160</v>
      </c>
      <c r="AE95" s="463" t="s">
        <v>525</v>
      </c>
      <c r="AF95" s="463" t="s">
        <v>167</v>
      </c>
      <c r="AG95" s="463" t="s">
        <v>167</v>
      </c>
      <c r="AH95" s="463">
        <v>9.1999999999999993</v>
      </c>
      <c r="AI95" s="463">
        <v>0.9</v>
      </c>
    </row>
    <row r="96" spans="6:35" ht="14.25" customHeight="1" x14ac:dyDescent="0.25">
      <c r="F96" s="707"/>
      <c r="AA96" s="463">
        <v>89</v>
      </c>
      <c r="AB96" s="463" t="s">
        <v>166</v>
      </c>
      <c r="AC96" s="463">
        <v>40</v>
      </c>
      <c r="AD96" s="463">
        <v>160</v>
      </c>
      <c r="AE96" s="463" t="s">
        <v>525</v>
      </c>
      <c r="AF96" s="463" t="s">
        <v>167</v>
      </c>
      <c r="AG96" s="463" t="s">
        <v>525</v>
      </c>
      <c r="AH96" s="463">
        <v>9.1999999999999993</v>
      </c>
      <c r="AI96" s="463">
        <v>0.9</v>
      </c>
    </row>
    <row r="97" spans="1:35" ht="14.25" customHeight="1" x14ac:dyDescent="0.25">
      <c r="F97" s="707"/>
      <c r="AA97" s="463">
        <v>90</v>
      </c>
      <c r="AB97" s="463" t="s">
        <v>166</v>
      </c>
      <c r="AC97" s="463">
        <v>40</v>
      </c>
      <c r="AD97" s="463">
        <v>160</v>
      </c>
      <c r="AE97" s="463" t="s">
        <v>167</v>
      </c>
      <c r="AF97" s="463" t="s">
        <v>167</v>
      </c>
      <c r="AG97" s="463" t="s">
        <v>525</v>
      </c>
      <c r="AH97" s="463">
        <v>6.1</v>
      </c>
      <c r="AI97" s="463">
        <v>0.9</v>
      </c>
    </row>
    <row r="98" spans="1:35" ht="14.25" customHeight="1" x14ac:dyDescent="0.25">
      <c r="A98" s="146">
        <f>IF(E20="N",0,0.1)</f>
        <v>0</v>
      </c>
      <c r="B98" s="493">
        <f>IF(Rechner!G32&lt;30,0.1,IF(Rechner!G32&lt;60,1/6,0))</f>
        <v>0.16666666666666666</v>
      </c>
      <c r="C98" s="493"/>
      <c r="F98" s="707"/>
      <c r="AA98" s="463">
        <v>91</v>
      </c>
      <c r="AB98" s="463" t="s">
        <v>173</v>
      </c>
      <c r="AC98" s="463">
        <v>65</v>
      </c>
      <c r="AD98" s="463">
        <v>160</v>
      </c>
      <c r="AE98" s="463" t="s">
        <v>167</v>
      </c>
      <c r="AF98" s="463" t="s">
        <v>167</v>
      </c>
      <c r="AG98" s="463" t="s">
        <v>525</v>
      </c>
      <c r="AH98" s="463">
        <v>6.1</v>
      </c>
      <c r="AI98" s="463">
        <v>1.9</v>
      </c>
    </row>
    <row r="99" spans="1:35" ht="14.25" customHeight="1" x14ac:dyDescent="0.25">
      <c r="A99" s="146">
        <f>IF(E21="N",0,0.1)</f>
        <v>0.1</v>
      </c>
      <c r="F99" s="707"/>
      <c r="AA99" s="463">
        <v>92</v>
      </c>
      <c r="AB99" s="463" t="s">
        <v>173</v>
      </c>
      <c r="AC99" s="463">
        <v>40</v>
      </c>
      <c r="AD99" s="463">
        <v>160</v>
      </c>
      <c r="AE99" s="463" t="s">
        <v>525</v>
      </c>
      <c r="AF99" s="463" t="s">
        <v>167</v>
      </c>
      <c r="AG99" s="463" t="s">
        <v>525</v>
      </c>
      <c r="AH99" s="463">
        <v>6.1</v>
      </c>
      <c r="AI99" s="463">
        <v>0.9</v>
      </c>
    </row>
    <row r="100" spans="1:35" ht="14.25" customHeight="1" x14ac:dyDescent="0.25">
      <c r="A100" s="146">
        <f>IF(E22="N",0,0.1)</f>
        <v>0</v>
      </c>
      <c r="B100" s="472"/>
      <c r="C100" s="472"/>
      <c r="F100" s="707"/>
      <c r="AA100" s="463">
        <v>93</v>
      </c>
      <c r="AB100" s="463" t="s">
        <v>173</v>
      </c>
      <c r="AC100" s="463">
        <v>40</v>
      </c>
      <c r="AD100" s="463">
        <v>140</v>
      </c>
      <c r="AE100" s="463" t="s">
        <v>525</v>
      </c>
      <c r="AF100" s="463" t="s">
        <v>167</v>
      </c>
      <c r="AG100" s="463" t="s">
        <v>167</v>
      </c>
      <c r="AH100" s="463">
        <v>6.1</v>
      </c>
      <c r="AI100" s="463">
        <v>1.9</v>
      </c>
    </row>
    <row r="101" spans="1:35" ht="14.25" customHeight="1" x14ac:dyDescent="0.25">
      <c r="D101" s="573"/>
      <c r="E101" s="573"/>
      <c r="F101" s="707"/>
      <c r="AA101" s="463">
        <v>94</v>
      </c>
      <c r="AB101" s="463" t="s">
        <v>173</v>
      </c>
      <c r="AC101" s="463">
        <v>40</v>
      </c>
      <c r="AD101" s="463">
        <v>160</v>
      </c>
      <c r="AE101" s="463" t="s">
        <v>167</v>
      </c>
      <c r="AF101" s="463" t="s">
        <v>525</v>
      </c>
      <c r="AG101" s="463" t="s">
        <v>167</v>
      </c>
      <c r="AH101" s="463">
        <v>6.1</v>
      </c>
      <c r="AI101" s="463">
        <v>1.9</v>
      </c>
    </row>
    <row r="102" spans="1:35" ht="14.25" customHeight="1" x14ac:dyDescent="0.25">
      <c r="F102" s="707"/>
      <c r="AA102" s="463">
        <v>95</v>
      </c>
      <c r="AB102" s="463" t="s">
        <v>173</v>
      </c>
      <c r="AC102" s="463">
        <v>40</v>
      </c>
      <c r="AD102" s="463">
        <v>140</v>
      </c>
      <c r="AE102" s="463" t="s">
        <v>167</v>
      </c>
      <c r="AF102" s="463" t="s">
        <v>167</v>
      </c>
      <c r="AG102" s="463" t="s">
        <v>167</v>
      </c>
      <c r="AH102" s="463">
        <v>9.1999999999999993</v>
      </c>
      <c r="AI102" s="463">
        <v>1.9</v>
      </c>
    </row>
    <row r="103" spans="1:35" ht="14.25" customHeight="1" x14ac:dyDescent="0.25">
      <c r="AA103" s="463">
        <v>96</v>
      </c>
      <c r="AB103" s="463" t="s">
        <v>166</v>
      </c>
      <c r="AC103" s="463">
        <v>65</v>
      </c>
      <c r="AD103" s="463">
        <v>160</v>
      </c>
      <c r="AE103" s="463" t="s">
        <v>525</v>
      </c>
      <c r="AF103" s="463" t="s">
        <v>167</v>
      </c>
      <c r="AG103" s="463" t="s">
        <v>525</v>
      </c>
      <c r="AH103" s="463">
        <v>6.1</v>
      </c>
      <c r="AI103" s="463">
        <v>0.9</v>
      </c>
    </row>
    <row r="104" spans="1:35" ht="14.25" customHeight="1" x14ac:dyDescent="0.25">
      <c r="F104" s="707"/>
      <c r="AA104" s="463">
        <v>97</v>
      </c>
      <c r="AB104" s="463" t="s">
        <v>166</v>
      </c>
      <c r="AC104" s="463">
        <v>65</v>
      </c>
      <c r="AD104" s="463">
        <v>160</v>
      </c>
      <c r="AE104" s="463" t="s">
        <v>167</v>
      </c>
      <c r="AF104" s="463" t="s">
        <v>167</v>
      </c>
      <c r="AG104" s="463" t="s">
        <v>525</v>
      </c>
      <c r="AH104" s="463">
        <v>9.1999999999999993</v>
      </c>
      <c r="AI104" s="463">
        <v>1.9</v>
      </c>
    </row>
    <row r="105" spans="1:35" ht="14.25" customHeight="1" x14ac:dyDescent="0.25">
      <c r="D105" s="628"/>
      <c r="E105" s="629">
        <v>1</v>
      </c>
      <c r="AA105" s="463">
        <v>98</v>
      </c>
      <c r="AB105" s="463" t="s">
        <v>173</v>
      </c>
      <c r="AC105" s="463">
        <v>65</v>
      </c>
      <c r="AD105" s="463">
        <v>160</v>
      </c>
      <c r="AE105" s="463" t="s">
        <v>167</v>
      </c>
      <c r="AF105" s="463" t="s">
        <v>525</v>
      </c>
      <c r="AG105" s="463" t="s">
        <v>525</v>
      </c>
      <c r="AH105" s="463">
        <v>6.1</v>
      </c>
      <c r="AI105" s="463">
        <v>0.9</v>
      </c>
    </row>
    <row r="106" spans="1:35" ht="14.25" customHeight="1" x14ac:dyDescent="0.25">
      <c r="D106" s="628"/>
      <c r="E106" s="629" t="str">
        <f>IF(E11&gt;160," high blood pressure","")</f>
        <v/>
      </c>
      <c r="F106" s="707"/>
      <c r="AA106" s="463">
        <v>99</v>
      </c>
      <c r="AB106" s="463" t="s">
        <v>173</v>
      </c>
      <c r="AC106" s="463">
        <v>65</v>
      </c>
      <c r="AD106" s="463">
        <v>140</v>
      </c>
      <c r="AE106" s="463" t="s">
        <v>525</v>
      </c>
      <c r="AF106" s="463" t="s">
        <v>167</v>
      </c>
      <c r="AG106" s="463" t="s">
        <v>525</v>
      </c>
      <c r="AH106" s="463">
        <v>9.1999999999999993</v>
      </c>
      <c r="AI106" s="463">
        <v>1.9</v>
      </c>
    </row>
    <row r="107" spans="1:35" ht="14.25" customHeight="1" x14ac:dyDescent="0.25">
      <c r="D107" s="628" t="str">
        <f>IF(E106="","",IF(AND(E107="",E108=""),"",IF(E108=""," and ",IF(E107="","",IF(E106="","",", ")))))</f>
        <v/>
      </c>
      <c r="E107" s="629" t="str">
        <f>IF(E17&gt;4.9,"high LDL","")</f>
        <v/>
      </c>
      <c r="AA107" s="463">
        <v>100</v>
      </c>
      <c r="AB107" s="463" t="s">
        <v>173</v>
      </c>
      <c r="AC107" s="463">
        <v>40</v>
      </c>
      <c r="AD107" s="463">
        <v>140</v>
      </c>
      <c r="AE107" s="463" t="s">
        <v>525</v>
      </c>
      <c r="AF107" s="463" t="s">
        <v>167</v>
      </c>
      <c r="AG107" s="463" t="s">
        <v>167</v>
      </c>
      <c r="AH107" s="463">
        <v>6.1</v>
      </c>
      <c r="AI107" s="463">
        <v>0.9</v>
      </c>
    </row>
    <row r="108" spans="1:35" ht="14.25" customHeight="1" x14ac:dyDescent="0.25">
      <c r="D108" s="628" t="s">
        <v>348</v>
      </c>
      <c r="E108" s="629" t="str">
        <f>IF(Rechner!K18&lt;60," poor renal function","")</f>
        <v xml:space="preserve"> poor renal function</v>
      </c>
      <c r="AA108" s="463">
        <v>101</v>
      </c>
      <c r="AB108" s="463" t="s">
        <v>166</v>
      </c>
      <c r="AC108" s="463">
        <v>40</v>
      </c>
      <c r="AD108" s="463">
        <v>160</v>
      </c>
      <c r="AE108" s="463" t="s">
        <v>167</v>
      </c>
      <c r="AF108" s="463" t="s">
        <v>167</v>
      </c>
      <c r="AG108" s="463" t="s">
        <v>525</v>
      </c>
      <c r="AH108" s="463">
        <v>9.1999999999999993</v>
      </c>
      <c r="AI108" s="463">
        <v>1.9</v>
      </c>
    </row>
    <row r="109" spans="1:35" ht="14.25" customHeight="1" x14ac:dyDescent="0.25">
      <c r="D109" s="628"/>
      <c r="E109" s="630"/>
      <c r="AA109" s="463">
        <v>102</v>
      </c>
      <c r="AB109" s="463" t="s">
        <v>173</v>
      </c>
      <c r="AC109" s="463">
        <v>40</v>
      </c>
      <c r="AD109" s="463">
        <v>160</v>
      </c>
      <c r="AE109" s="463" t="s">
        <v>167</v>
      </c>
      <c r="AF109" s="463" t="s">
        <v>525</v>
      </c>
      <c r="AG109" s="463" t="s">
        <v>525</v>
      </c>
      <c r="AH109" s="463">
        <v>9.1999999999999993</v>
      </c>
      <c r="AI109" s="463">
        <v>0.9</v>
      </c>
    </row>
    <row r="110" spans="1:35" ht="14.25" customHeight="1" x14ac:dyDescent="0.25">
      <c r="AA110" s="463">
        <v>103</v>
      </c>
      <c r="AB110" s="463" t="s">
        <v>166</v>
      </c>
      <c r="AC110" s="463">
        <v>65</v>
      </c>
      <c r="AD110" s="463">
        <v>160</v>
      </c>
      <c r="AE110" s="463" t="s">
        <v>167</v>
      </c>
      <c r="AF110" s="463" t="s">
        <v>525</v>
      </c>
      <c r="AG110" s="463" t="s">
        <v>167</v>
      </c>
      <c r="AH110" s="463">
        <v>9.1999999999999993</v>
      </c>
      <c r="AI110" s="463">
        <v>1.9</v>
      </c>
    </row>
    <row r="111" spans="1:35" ht="14.25" customHeight="1" x14ac:dyDescent="0.25">
      <c r="AA111" s="463">
        <v>104</v>
      </c>
      <c r="AB111" s="463" t="s">
        <v>166</v>
      </c>
      <c r="AC111" s="463">
        <v>40</v>
      </c>
      <c r="AD111" s="463">
        <v>140</v>
      </c>
      <c r="AE111" s="463" t="s">
        <v>167</v>
      </c>
      <c r="AF111" s="463" t="s">
        <v>525</v>
      </c>
      <c r="AG111" s="463" t="s">
        <v>525</v>
      </c>
      <c r="AH111" s="463">
        <v>6.1</v>
      </c>
      <c r="AI111" s="463">
        <v>0.9</v>
      </c>
    </row>
    <row r="112" spans="1:35" ht="14.25" customHeight="1" x14ac:dyDescent="0.25">
      <c r="AA112" s="463">
        <v>105</v>
      </c>
      <c r="AB112" s="463" t="s">
        <v>166</v>
      </c>
      <c r="AC112" s="463">
        <v>65</v>
      </c>
      <c r="AD112" s="463">
        <v>140</v>
      </c>
      <c r="AE112" s="463" t="s">
        <v>167</v>
      </c>
      <c r="AF112" s="463" t="s">
        <v>525</v>
      </c>
      <c r="AG112" s="463" t="s">
        <v>167</v>
      </c>
      <c r="AH112" s="463">
        <v>6.1</v>
      </c>
      <c r="AI112" s="463">
        <v>1.9</v>
      </c>
    </row>
    <row r="113" spans="2:35" ht="14.25" customHeight="1" x14ac:dyDescent="0.25">
      <c r="AA113" s="463">
        <v>106</v>
      </c>
      <c r="AB113" s="463" t="s">
        <v>166</v>
      </c>
      <c r="AC113" s="463">
        <v>40</v>
      </c>
      <c r="AD113" s="463">
        <v>160</v>
      </c>
      <c r="AE113" s="463" t="s">
        <v>167</v>
      </c>
      <c r="AF113" s="463" t="s">
        <v>525</v>
      </c>
      <c r="AG113" s="463" t="s">
        <v>167</v>
      </c>
      <c r="AH113" s="463">
        <v>9.1999999999999993</v>
      </c>
      <c r="AI113" s="463">
        <v>1.9</v>
      </c>
    </row>
    <row r="114" spans="2:35" ht="14.25" customHeight="1" x14ac:dyDescent="0.25">
      <c r="AA114" s="463">
        <v>107</v>
      </c>
      <c r="AB114" s="463" t="s">
        <v>166</v>
      </c>
      <c r="AC114" s="463">
        <v>65</v>
      </c>
      <c r="AD114" s="463">
        <v>160</v>
      </c>
      <c r="AE114" s="463" t="s">
        <v>525</v>
      </c>
      <c r="AF114" s="463" t="s">
        <v>525</v>
      </c>
      <c r="AG114" s="463" t="s">
        <v>167</v>
      </c>
      <c r="AH114" s="463">
        <v>6.1</v>
      </c>
      <c r="AI114" s="463">
        <v>1.9</v>
      </c>
    </row>
    <row r="115" spans="2:35" ht="14.25" customHeight="1" x14ac:dyDescent="0.25">
      <c r="B115" s="661">
        <f>IF(E10&gt;=75,1/6,0)</f>
        <v>0</v>
      </c>
      <c r="C115" s="146"/>
      <c r="AA115" s="463">
        <v>108</v>
      </c>
      <c r="AB115" s="463" t="s">
        <v>173</v>
      </c>
      <c r="AC115" s="463">
        <v>40</v>
      </c>
      <c r="AD115" s="463">
        <v>160</v>
      </c>
      <c r="AE115" s="463" t="s">
        <v>525</v>
      </c>
      <c r="AF115" s="463" t="s">
        <v>167</v>
      </c>
      <c r="AG115" s="463" t="s">
        <v>525</v>
      </c>
      <c r="AH115" s="463">
        <v>9.1999999999999993</v>
      </c>
      <c r="AI115" s="463">
        <v>0.9</v>
      </c>
    </row>
    <row r="116" spans="2:35" ht="14.25" customHeight="1" x14ac:dyDescent="0.25">
      <c r="AA116" s="463">
        <v>109</v>
      </c>
      <c r="AB116" s="463" t="s">
        <v>173</v>
      </c>
      <c r="AC116" s="463">
        <v>65</v>
      </c>
      <c r="AD116" s="463">
        <v>160</v>
      </c>
      <c r="AE116" s="463" t="s">
        <v>525</v>
      </c>
      <c r="AF116" s="463" t="s">
        <v>167</v>
      </c>
      <c r="AG116" s="463" t="s">
        <v>167</v>
      </c>
      <c r="AH116" s="463">
        <v>6.1</v>
      </c>
      <c r="AI116" s="463">
        <v>0.9</v>
      </c>
    </row>
    <row r="117" spans="2:35" ht="14.25" customHeight="1" x14ac:dyDescent="0.25">
      <c r="B117" s="146">
        <f>IF(E28="N",0,0.1)</f>
        <v>0</v>
      </c>
      <c r="C117" s="146"/>
      <c r="D117" s="573" t="s">
        <v>313</v>
      </c>
      <c r="E117" s="573" t="s">
        <v>1</v>
      </c>
      <c r="AA117" s="463">
        <v>110</v>
      </c>
      <c r="AB117" s="463" t="s">
        <v>166</v>
      </c>
      <c r="AC117" s="463">
        <v>65</v>
      </c>
      <c r="AD117" s="463">
        <v>160</v>
      </c>
      <c r="AE117" s="463" t="s">
        <v>167</v>
      </c>
      <c r="AF117" s="463" t="s">
        <v>525</v>
      </c>
      <c r="AG117" s="463" t="s">
        <v>525</v>
      </c>
      <c r="AH117" s="463">
        <v>9.1999999999999993</v>
      </c>
      <c r="AI117" s="463">
        <v>0.9</v>
      </c>
    </row>
    <row r="118" spans="2:35" ht="14.25" customHeight="1" x14ac:dyDescent="0.25">
      <c r="B118" s="146">
        <f>IF(E29="N",0,0.1)</f>
        <v>0</v>
      </c>
      <c r="C118" s="146"/>
      <c r="D118" s="573" t="s">
        <v>314</v>
      </c>
      <c r="E118" s="573">
        <f>FRAM1030!C49</f>
        <v>1.7689999999999999</v>
      </c>
      <c r="AA118" s="463">
        <v>111</v>
      </c>
      <c r="AB118" s="463" t="s">
        <v>166</v>
      </c>
      <c r="AC118" s="463">
        <v>65</v>
      </c>
      <c r="AD118" s="463">
        <v>160</v>
      </c>
      <c r="AE118" s="463" t="s">
        <v>525</v>
      </c>
      <c r="AF118" s="463" t="s">
        <v>167</v>
      </c>
      <c r="AG118" s="463" t="s">
        <v>525</v>
      </c>
      <c r="AH118" s="463">
        <v>6.1</v>
      </c>
      <c r="AI118" s="463">
        <v>1.9</v>
      </c>
    </row>
    <row r="119" spans="2:35" ht="14.25" customHeight="1" x14ac:dyDescent="0.25">
      <c r="B119" s="146">
        <f>IF(E30&lt;110,0.1,IF(E9="F",IF(E30&lt;120,1/6,0),IF(E30&lt;130,1/6,0)))</f>
        <v>0.1</v>
      </c>
      <c r="C119" s="146"/>
      <c r="D119" s="573" t="s">
        <v>315</v>
      </c>
      <c r="E119" s="573">
        <f>FRAM1030!C50</f>
        <v>1.6239999999999999</v>
      </c>
      <c r="AA119" s="463">
        <v>112</v>
      </c>
      <c r="AB119" s="463" t="s">
        <v>166</v>
      </c>
      <c r="AC119" s="463">
        <v>40</v>
      </c>
      <c r="AD119" s="463">
        <v>140</v>
      </c>
      <c r="AE119" s="463" t="s">
        <v>167</v>
      </c>
      <c r="AF119" s="463" t="s">
        <v>167</v>
      </c>
      <c r="AG119" s="463" t="s">
        <v>525</v>
      </c>
      <c r="AH119" s="463">
        <v>9.1999999999999993</v>
      </c>
      <c r="AI119" s="463">
        <v>0.9</v>
      </c>
    </row>
    <row r="120" spans="2:35" ht="14.25" customHeight="1" x14ac:dyDescent="0.25">
      <c r="B120" s="146">
        <f>IF(E31="N",0,0.1)</f>
        <v>0</v>
      </c>
      <c r="C120" s="146"/>
      <c r="D120" s="573" t="s">
        <v>316</v>
      </c>
      <c r="E120" s="573">
        <f>FRAM1030!C51</f>
        <v>1.45</v>
      </c>
      <c r="AA120" s="463">
        <v>113</v>
      </c>
      <c r="AB120" s="463" t="s">
        <v>166</v>
      </c>
      <c r="AC120" s="463">
        <v>40</v>
      </c>
      <c r="AD120" s="463">
        <v>160</v>
      </c>
      <c r="AE120" s="463" t="s">
        <v>525</v>
      </c>
      <c r="AF120" s="463" t="s">
        <v>525</v>
      </c>
      <c r="AG120" s="463" t="s">
        <v>167</v>
      </c>
      <c r="AH120" s="463">
        <v>9.1999999999999993</v>
      </c>
      <c r="AI120" s="463">
        <v>0.9</v>
      </c>
    </row>
    <row r="121" spans="2:35" ht="14.25" customHeight="1" x14ac:dyDescent="0.25">
      <c r="B121" s="146">
        <f>IF(E32="N",0,IF(E32="Y",0.1,1/6))</f>
        <v>0</v>
      </c>
      <c r="C121" s="146"/>
      <c r="D121" s="573" t="s">
        <v>317</v>
      </c>
      <c r="E121" s="573">
        <f>FRAM1030!C52</f>
        <v>1.3049999999999999</v>
      </c>
      <c r="AA121" s="463">
        <v>114</v>
      </c>
      <c r="AB121" s="463" t="s">
        <v>166</v>
      </c>
      <c r="AC121" s="463">
        <v>65</v>
      </c>
      <c r="AD121" s="463">
        <v>160</v>
      </c>
      <c r="AE121" s="463" t="s">
        <v>525</v>
      </c>
      <c r="AF121" s="463" t="s">
        <v>167</v>
      </c>
      <c r="AG121" s="463" t="s">
        <v>167</v>
      </c>
      <c r="AH121" s="463">
        <v>6.1</v>
      </c>
      <c r="AI121" s="463">
        <v>0.9</v>
      </c>
    </row>
    <row r="122" spans="2:35" ht="14.25" customHeight="1" x14ac:dyDescent="0.25">
      <c r="B122" s="146">
        <f>IF(E33="N",0,0.1)</f>
        <v>0</v>
      </c>
      <c r="C122" s="146"/>
      <c r="D122" s="573" t="s">
        <v>215</v>
      </c>
      <c r="E122" s="573">
        <f>FRAM1030!C53</f>
        <v>1.8559999999999999</v>
      </c>
      <c r="AA122" s="463">
        <v>115</v>
      </c>
      <c r="AB122" s="463" t="s">
        <v>166</v>
      </c>
      <c r="AC122" s="463">
        <v>40</v>
      </c>
      <c r="AD122" s="463">
        <v>140</v>
      </c>
      <c r="AE122" s="463" t="s">
        <v>525</v>
      </c>
      <c r="AF122" s="463" t="s">
        <v>525</v>
      </c>
      <c r="AG122" s="463" t="s">
        <v>167</v>
      </c>
      <c r="AH122" s="463">
        <v>9.1999999999999993</v>
      </c>
      <c r="AI122" s="463">
        <v>0.9</v>
      </c>
    </row>
    <row r="123" spans="2:35" ht="14.25" customHeight="1" x14ac:dyDescent="0.25">
      <c r="B123" s="146">
        <f>IF(E34="N",0,IF(E34="Y",0.1,1/6))</f>
        <v>0</v>
      </c>
      <c r="C123" s="146"/>
      <c r="D123" s="573" t="s">
        <v>216</v>
      </c>
      <c r="E123" s="573">
        <f>FRAM1030!C54</f>
        <v>1.7109999999999999</v>
      </c>
      <c r="AA123" s="463">
        <v>116</v>
      </c>
      <c r="AB123" s="463" t="s">
        <v>166</v>
      </c>
      <c r="AC123" s="463">
        <v>40</v>
      </c>
      <c r="AD123" s="463">
        <v>140</v>
      </c>
      <c r="AE123" s="463" t="s">
        <v>167</v>
      </c>
      <c r="AF123" s="463" t="s">
        <v>525</v>
      </c>
      <c r="AG123" s="463" t="s">
        <v>167</v>
      </c>
      <c r="AH123" s="463">
        <v>6.1</v>
      </c>
      <c r="AI123" s="463">
        <v>1.9</v>
      </c>
    </row>
    <row r="124" spans="2:35" ht="14.25" customHeight="1" x14ac:dyDescent="0.25">
      <c r="B124" s="146">
        <f>IF(E35="N",0,0.1)</f>
        <v>0</v>
      </c>
      <c r="C124" s="146"/>
      <c r="D124" s="573" t="s">
        <v>217</v>
      </c>
      <c r="E124" s="573">
        <f>FRAM1030!C55</f>
        <v>1.5659999999999998</v>
      </c>
      <c r="AA124" s="463">
        <v>117</v>
      </c>
      <c r="AB124" s="463" t="s">
        <v>173</v>
      </c>
      <c r="AC124" s="463">
        <v>40</v>
      </c>
      <c r="AD124" s="463">
        <v>140</v>
      </c>
      <c r="AE124" s="463" t="s">
        <v>525</v>
      </c>
      <c r="AF124" s="463" t="s">
        <v>167</v>
      </c>
      <c r="AG124" s="463" t="s">
        <v>167</v>
      </c>
      <c r="AH124" s="463">
        <v>9.1999999999999993</v>
      </c>
      <c r="AI124" s="463">
        <v>1.9</v>
      </c>
    </row>
    <row r="125" spans="2:35" ht="14.25" customHeight="1" x14ac:dyDescent="0.25">
      <c r="B125" s="146">
        <f>IF(E36="N",0,1/6)</f>
        <v>0</v>
      </c>
      <c r="C125" s="146"/>
      <c r="D125" s="573" t="s">
        <v>218</v>
      </c>
      <c r="E125" s="573">
        <f>FRAM1030!C56</f>
        <v>1.4209999999999998</v>
      </c>
      <c r="AA125" s="463">
        <v>118</v>
      </c>
      <c r="AB125" s="463" t="s">
        <v>166</v>
      </c>
      <c r="AC125" s="463">
        <v>40</v>
      </c>
      <c r="AD125" s="463">
        <v>160</v>
      </c>
      <c r="AE125" s="463" t="s">
        <v>525</v>
      </c>
      <c r="AF125" s="463" t="s">
        <v>525</v>
      </c>
      <c r="AG125" s="463" t="s">
        <v>167</v>
      </c>
      <c r="AH125" s="463">
        <v>6.1</v>
      </c>
      <c r="AI125" s="463">
        <v>0.9</v>
      </c>
    </row>
    <row r="126" spans="2:35" ht="14.25" customHeight="1" x14ac:dyDescent="0.25">
      <c r="B126" s="146">
        <f>IF(E37="N",0,0.1)</f>
        <v>0</v>
      </c>
      <c r="C126" s="146"/>
      <c r="D126" s="573" t="s">
        <v>332</v>
      </c>
      <c r="E126" s="573">
        <v>13</v>
      </c>
      <c r="AA126" s="463">
        <v>119</v>
      </c>
      <c r="AB126" s="463" t="s">
        <v>173</v>
      </c>
      <c r="AC126" s="463">
        <v>40</v>
      </c>
      <c r="AD126" s="463">
        <v>140</v>
      </c>
      <c r="AE126" s="463" t="s">
        <v>525</v>
      </c>
      <c r="AF126" s="463" t="s">
        <v>167</v>
      </c>
      <c r="AG126" s="463" t="s">
        <v>525</v>
      </c>
      <c r="AH126" s="463">
        <v>9.1999999999999993</v>
      </c>
      <c r="AI126" s="463">
        <v>0.9</v>
      </c>
    </row>
    <row r="127" spans="2:35" ht="14.25" customHeight="1" x14ac:dyDescent="0.25">
      <c r="D127" s="573" t="s">
        <v>322</v>
      </c>
      <c r="E127" s="573">
        <v>34</v>
      </c>
      <c r="AA127" s="463">
        <v>120</v>
      </c>
      <c r="AB127" s="463" t="s">
        <v>173</v>
      </c>
      <c r="AC127" s="463">
        <v>65</v>
      </c>
      <c r="AD127" s="463">
        <v>140</v>
      </c>
      <c r="AE127" s="463" t="s">
        <v>167</v>
      </c>
      <c r="AF127" s="463" t="s">
        <v>525</v>
      </c>
      <c r="AG127" s="463" t="s">
        <v>525</v>
      </c>
      <c r="AH127" s="463">
        <v>9.1999999999999993</v>
      </c>
      <c r="AI127" s="463">
        <v>1.9</v>
      </c>
    </row>
    <row r="128" spans="2:35" ht="14.25" customHeight="1" x14ac:dyDescent="0.25">
      <c r="D128" s="573" t="s">
        <v>333</v>
      </c>
      <c r="E128" s="573">
        <v>113</v>
      </c>
      <c r="AA128" s="463">
        <v>121</v>
      </c>
      <c r="AB128" s="463" t="s">
        <v>166</v>
      </c>
      <c r="AC128" s="463">
        <v>65</v>
      </c>
      <c r="AD128" s="463">
        <v>140</v>
      </c>
      <c r="AE128" s="463" t="s">
        <v>167</v>
      </c>
      <c r="AF128" s="463" t="s">
        <v>167</v>
      </c>
      <c r="AG128" s="463" t="s">
        <v>167</v>
      </c>
      <c r="AH128" s="463">
        <v>6.1</v>
      </c>
      <c r="AI128" s="463">
        <v>0.9</v>
      </c>
    </row>
    <row r="129" spans="4:35" ht="14.25" customHeight="1" x14ac:dyDescent="0.25">
      <c r="D129" s="573" t="s">
        <v>323</v>
      </c>
      <c r="E129" s="573">
        <v>104</v>
      </c>
      <c r="AA129" s="463">
        <v>122</v>
      </c>
      <c r="AB129" s="463" t="s">
        <v>173</v>
      </c>
      <c r="AC129" s="463">
        <v>40</v>
      </c>
      <c r="AD129" s="463">
        <v>160</v>
      </c>
      <c r="AE129" s="463" t="s">
        <v>525</v>
      </c>
      <c r="AF129" s="463" t="s">
        <v>525</v>
      </c>
      <c r="AG129" s="463" t="s">
        <v>167</v>
      </c>
      <c r="AH129" s="463">
        <v>6.1</v>
      </c>
      <c r="AI129" s="463">
        <v>0.9</v>
      </c>
    </row>
    <row r="130" spans="4:35" ht="14.25" customHeight="1" x14ac:dyDescent="0.25">
      <c r="D130" s="573" t="s">
        <v>115</v>
      </c>
      <c r="E130" s="573">
        <f>(E126/E127)/(E128/E129)</f>
        <v>0.35190005205622071</v>
      </c>
      <c r="AA130" s="463">
        <v>123</v>
      </c>
      <c r="AB130" s="463" t="s">
        <v>166</v>
      </c>
      <c r="AC130" s="463">
        <v>65</v>
      </c>
      <c r="AD130" s="463">
        <v>140</v>
      </c>
      <c r="AE130" s="463" t="s">
        <v>167</v>
      </c>
      <c r="AF130" s="463" t="s">
        <v>167</v>
      </c>
      <c r="AG130" s="463" t="s">
        <v>525</v>
      </c>
      <c r="AH130" s="463">
        <v>6.1</v>
      </c>
      <c r="AI130" s="463">
        <v>1.9</v>
      </c>
    </row>
    <row r="131" spans="4:35" ht="14.25" customHeight="1" x14ac:dyDescent="0.25">
      <c r="D131" s="573" t="s">
        <v>324</v>
      </c>
      <c r="E131" s="573"/>
      <c r="AA131" s="463">
        <v>124</v>
      </c>
      <c r="AB131" s="463" t="s">
        <v>173</v>
      </c>
      <c r="AC131" s="463">
        <v>40</v>
      </c>
      <c r="AD131" s="463">
        <v>140</v>
      </c>
      <c r="AE131" s="463" t="s">
        <v>525</v>
      </c>
      <c r="AF131" s="463" t="s">
        <v>525</v>
      </c>
      <c r="AG131" s="463" t="s">
        <v>167</v>
      </c>
      <c r="AH131" s="463">
        <v>6.1</v>
      </c>
      <c r="AI131" s="463">
        <v>1.9</v>
      </c>
    </row>
    <row r="132" spans="4:35" ht="14.25" customHeight="1" x14ac:dyDescent="0.25">
      <c r="D132" s="573" t="s">
        <v>325</v>
      </c>
      <c r="E132" s="573"/>
      <c r="AA132" s="463">
        <v>125</v>
      </c>
      <c r="AB132" s="463" t="s">
        <v>166</v>
      </c>
      <c r="AC132" s="463">
        <v>40</v>
      </c>
      <c r="AD132" s="463">
        <v>140</v>
      </c>
      <c r="AE132" s="463" t="s">
        <v>525</v>
      </c>
      <c r="AF132" s="463" t="s">
        <v>167</v>
      </c>
      <c r="AG132" s="463" t="s">
        <v>525</v>
      </c>
      <c r="AH132" s="463">
        <v>6.1</v>
      </c>
      <c r="AI132" s="463">
        <v>1.9</v>
      </c>
    </row>
    <row r="133" spans="4:35" ht="14.25" customHeight="1" x14ac:dyDescent="0.25">
      <c r="D133" s="573" t="s">
        <v>326</v>
      </c>
      <c r="E133" s="573" t="s">
        <v>1</v>
      </c>
      <c r="AA133" s="463">
        <v>126</v>
      </c>
      <c r="AB133" s="463" t="s">
        <v>166</v>
      </c>
      <c r="AC133" s="463">
        <v>65</v>
      </c>
      <c r="AD133" s="463">
        <v>140</v>
      </c>
      <c r="AE133" s="463" t="s">
        <v>525</v>
      </c>
      <c r="AF133" s="463" t="s">
        <v>167</v>
      </c>
      <c r="AG133" s="463" t="s">
        <v>525</v>
      </c>
      <c r="AH133" s="463">
        <v>9.1999999999999993</v>
      </c>
      <c r="AI133" s="463">
        <v>0.9</v>
      </c>
    </row>
    <row r="134" spans="4:35" ht="14.25" customHeight="1" x14ac:dyDescent="0.25">
      <c r="D134" s="573" t="s">
        <v>127</v>
      </c>
      <c r="E134" s="573"/>
      <c r="AA134" s="463">
        <v>127</v>
      </c>
      <c r="AB134" s="463" t="s">
        <v>173</v>
      </c>
      <c r="AC134" s="463">
        <v>65</v>
      </c>
      <c r="AD134" s="463">
        <v>140</v>
      </c>
      <c r="AE134" s="463" t="s">
        <v>525</v>
      </c>
      <c r="AF134" s="463" t="s">
        <v>167</v>
      </c>
      <c r="AG134" s="463" t="s">
        <v>167</v>
      </c>
      <c r="AH134" s="463">
        <v>6.1</v>
      </c>
      <c r="AI134" s="463">
        <v>0.9</v>
      </c>
    </row>
    <row r="135" spans="4:35" ht="14.25" customHeight="1" x14ac:dyDescent="0.25">
      <c r="D135" s="573" t="s">
        <v>128</v>
      </c>
      <c r="E135" s="573"/>
      <c r="AA135" s="463">
        <v>128</v>
      </c>
      <c r="AB135" s="463" t="s">
        <v>166</v>
      </c>
      <c r="AC135" s="463">
        <v>40</v>
      </c>
      <c r="AD135" s="463">
        <v>160</v>
      </c>
      <c r="AE135" s="463" t="s">
        <v>525</v>
      </c>
      <c r="AF135" s="463" t="s">
        <v>167</v>
      </c>
      <c r="AG135" s="463" t="s">
        <v>525</v>
      </c>
      <c r="AH135" s="463">
        <v>9.1999999999999993</v>
      </c>
      <c r="AI135" s="463">
        <v>1.9</v>
      </c>
    </row>
    <row r="136" spans="4:35" ht="14.25" customHeight="1" x14ac:dyDescent="0.25">
      <c r="D136" s="573"/>
      <c r="E136" s="573"/>
      <c r="AA136" s="463">
        <v>129</v>
      </c>
      <c r="AB136" s="463" t="s">
        <v>173</v>
      </c>
      <c r="AC136" s="463">
        <v>65</v>
      </c>
      <c r="AD136" s="463">
        <v>140</v>
      </c>
      <c r="AE136" s="463" t="s">
        <v>167</v>
      </c>
      <c r="AF136" s="463" t="s">
        <v>167</v>
      </c>
      <c r="AG136" s="463" t="s">
        <v>167</v>
      </c>
      <c r="AH136" s="463">
        <v>6.1</v>
      </c>
      <c r="AI136" s="463">
        <v>1.9</v>
      </c>
    </row>
    <row r="137" spans="4:35" x14ac:dyDescent="0.25">
      <c r="D137" s="573" t="s">
        <v>361</v>
      </c>
      <c r="E137" s="662">
        <f>COUNTIF(B8:B98,0.1)</f>
        <v>0</v>
      </c>
      <c r="AA137" s="463">
        <v>130</v>
      </c>
      <c r="AB137" s="463" t="s">
        <v>173</v>
      </c>
      <c r="AC137" s="463">
        <v>65</v>
      </c>
      <c r="AD137" s="463">
        <v>140</v>
      </c>
      <c r="AE137" s="463" t="s">
        <v>525</v>
      </c>
      <c r="AF137" s="463" t="s">
        <v>525</v>
      </c>
      <c r="AG137" s="463" t="s">
        <v>525</v>
      </c>
      <c r="AH137" s="463">
        <v>9.1999999999999993</v>
      </c>
      <c r="AI137" s="463">
        <v>0.9</v>
      </c>
    </row>
    <row r="138" spans="4:35" x14ac:dyDescent="0.25">
      <c r="D138" s="573" t="s">
        <v>360</v>
      </c>
      <c r="E138" s="573"/>
      <c r="AA138" s="463">
        <v>131</v>
      </c>
      <c r="AB138" s="463" t="s">
        <v>173</v>
      </c>
      <c r="AC138" s="463">
        <v>40</v>
      </c>
      <c r="AD138" s="463">
        <v>160</v>
      </c>
      <c r="AE138" s="463" t="s">
        <v>525</v>
      </c>
      <c r="AF138" s="463" t="s">
        <v>525</v>
      </c>
      <c r="AG138" s="463" t="s">
        <v>525</v>
      </c>
      <c r="AH138" s="463">
        <v>6.1</v>
      </c>
      <c r="AI138" s="463">
        <v>1.9</v>
      </c>
    </row>
    <row r="139" spans="4:35" x14ac:dyDescent="0.25">
      <c r="D139" s="600" t="s">
        <v>362</v>
      </c>
      <c r="E139" s="52">
        <f>Rechner!G32</f>
        <v>51.364799999999995</v>
      </c>
      <c r="AA139" s="463">
        <v>132</v>
      </c>
      <c r="AB139" s="463" t="s">
        <v>173</v>
      </c>
      <c r="AC139" s="463">
        <v>65</v>
      </c>
      <c r="AD139" s="463">
        <v>140</v>
      </c>
      <c r="AE139" s="463" t="s">
        <v>167</v>
      </c>
      <c r="AF139" s="463" t="s">
        <v>167</v>
      </c>
      <c r="AG139" s="463" t="s">
        <v>167</v>
      </c>
      <c r="AH139" s="463">
        <v>6.1</v>
      </c>
      <c r="AI139" s="463">
        <v>0.9</v>
      </c>
    </row>
    <row r="140" spans="4:35" x14ac:dyDescent="0.25">
      <c r="D140" s="596">
        <v>100000000000</v>
      </c>
      <c r="E140" s="573"/>
      <c r="AA140" s="463">
        <v>133</v>
      </c>
      <c r="AB140" s="463" t="s">
        <v>173</v>
      </c>
      <c r="AC140" s="463">
        <v>65</v>
      </c>
      <c r="AD140" s="463">
        <v>140</v>
      </c>
      <c r="AE140" s="463" t="s">
        <v>167</v>
      </c>
      <c r="AF140" s="463" t="s">
        <v>167</v>
      </c>
      <c r="AG140" s="463" t="s">
        <v>525</v>
      </c>
      <c r="AH140" s="463">
        <v>6.1</v>
      </c>
      <c r="AI140" s="463">
        <v>1.9</v>
      </c>
    </row>
    <row r="141" spans="4:35" x14ac:dyDescent="0.25">
      <c r="AA141" s="463">
        <v>134</v>
      </c>
      <c r="AB141" s="463" t="s">
        <v>173</v>
      </c>
      <c r="AC141" s="463">
        <v>40</v>
      </c>
      <c r="AD141" s="463">
        <v>140</v>
      </c>
      <c r="AE141" s="463" t="s">
        <v>525</v>
      </c>
      <c r="AF141" s="463" t="s">
        <v>525</v>
      </c>
      <c r="AG141" s="463" t="s">
        <v>525</v>
      </c>
      <c r="AH141" s="463">
        <v>6.1</v>
      </c>
      <c r="AI141" s="463">
        <v>1.9</v>
      </c>
    </row>
    <row r="142" spans="4:35" x14ac:dyDescent="0.25">
      <c r="AA142" s="463">
        <v>135</v>
      </c>
      <c r="AB142" s="463" t="s">
        <v>166</v>
      </c>
      <c r="AC142" s="463">
        <v>40</v>
      </c>
      <c r="AD142" s="463">
        <v>140</v>
      </c>
      <c r="AE142" s="463" t="s">
        <v>525</v>
      </c>
      <c r="AF142" s="463" t="s">
        <v>525</v>
      </c>
      <c r="AG142" s="463" t="s">
        <v>525</v>
      </c>
      <c r="AH142" s="463">
        <v>9.1999999999999993</v>
      </c>
      <c r="AI142" s="463">
        <v>1.9</v>
      </c>
    </row>
    <row r="143" spans="4:35" x14ac:dyDescent="0.25">
      <c r="AA143" s="463">
        <v>136</v>
      </c>
      <c r="AB143" s="463" t="s">
        <v>173</v>
      </c>
      <c r="AC143" s="463">
        <v>40</v>
      </c>
      <c r="AD143" s="463">
        <v>140</v>
      </c>
      <c r="AE143" s="463" t="s">
        <v>525</v>
      </c>
      <c r="AF143" s="463" t="s">
        <v>167</v>
      </c>
      <c r="AG143" s="463" t="s">
        <v>525</v>
      </c>
      <c r="AH143" s="463">
        <v>6.1</v>
      </c>
      <c r="AI143" s="463">
        <v>1.9</v>
      </c>
    </row>
    <row r="144" spans="4:35" x14ac:dyDescent="0.25">
      <c r="AA144" s="463">
        <v>137</v>
      </c>
      <c r="AB144" s="463" t="s">
        <v>173</v>
      </c>
      <c r="AC144" s="463">
        <v>65</v>
      </c>
      <c r="AD144" s="463">
        <v>140</v>
      </c>
      <c r="AE144" s="463" t="s">
        <v>167</v>
      </c>
      <c r="AF144" s="463" t="s">
        <v>167</v>
      </c>
      <c r="AG144" s="463" t="s">
        <v>525</v>
      </c>
      <c r="AH144" s="463">
        <v>6.1</v>
      </c>
      <c r="AI144" s="463">
        <v>0.9</v>
      </c>
    </row>
    <row r="145" spans="27:35" x14ac:dyDescent="0.25">
      <c r="AA145" s="463">
        <v>138</v>
      </c>
      <c r="AB145" s="463" t="s">
        <v>166</v>
      </c>
      <c r="AC145" s="463">
        <v>40</v>
      </c>
      <c r="AD145" s="463">
        <v>140</v>
      </c>
      <c r="AE145" s="463" t="s">
        <v>525</v>
      </c>
      <c r="AF145" s="463" t="s">
        <v>525</v>
      </c>
      <c r="AG145" s="463" t="s">
        <v>167</v>
      </c>
      <c r="AH145" s="463">
        <v>9.1999999999999993</v>
      </c>
      <c r="AI145" s="463">
        <v>1.9</v>
      </c>
    </row>
    <row r="146" spans="27:35" x14ac:dyDescent="0.25">
      <c r="AA146" s="463">
        <v>139</v>
      </c>
      <c r="AB146" s="463" t="s">
        <v>173</v>
      </c>
      <c r="AC146" s="463">
        <v>65</v>
      </c>
      <c r="AD146" s="463">
        <v>160</v>
      </c>
      <c r="AE146" s="463" t="s">
        <v>167</v>
      </c>
      <c r="AF146" s="463" t="s">
        <v>167</v>
      </c>
      <c r="AG146" s="463" t="s">
        <v>525</v>
      </c>
      <c r="AH146" s="463">
        <v>9.1999999999999993</v>
      </c>
      <c r="AI146" s="463">
        <v>1.9</v>
      </c>
    </row>
    <row r="147" spans="27:35" x14ac:dyDescent="0.25">
      <c r="AA147" s="463">
        <v>140</v>
      </c>
      <c r="AB147" s="463" t="s">
        <v>166</v>
      </c>
      <c r="AC147" s="463">
        <v>40</v>
      </c>
      <c r="AD147" s="463">
        <v>140</v>
      </c>
      <c r="AE147" s="463" t="s">
        <v>167</v>
      </c>
      <c r="AF147" s="463" t="s">
        <v>525</v>
      </c>
      <c r="AG147" s="463" t="s">
        <v>525</v>
      </c>
      <c r="AH147" s="463">
        <v>9.1999999999999993</v>
      </c>
      <c r="AI147" s="463">
        <v>0.9</v>
      </c>
    </row>
    <row r="148" spans="27:35" x14ac:dyDescent="0.25">
      <c r="AA148" s="463">
        <v>141</v>
      </c>
      <c r="AB148" s="463" t="s">
        <v>166</v>
      </c>
      <c r="AC148" s="463">
        <v>65</v>
      </c>
      <c r="AD148" s="463">
        <v>160</v>
      </c>
      <c r="AE148" s="463" t="s">
        <v>525</v>
      </c>
      <c r="AF148" s="463" t="s">
        <v>525</v>
      </c>
      <c r="AG148" s="463" t="s">
        <v>525</v>
      </c>
      <c r="AH148" s="463">
        <v>6.1</v>
      </c>
      <c r="AI148" s="463">
        <v>0.9</v>
      </c>
    </row>
    <row r="149" spans="27:35" x14ac:dyDescent="0.25">
      <c r="AA149" s="463">
        <v>142</v>
      </c>
      <c r="AB149" s="463" t="s">
        <v>173</v>
      </c>
      <c r="AC149" s="463">
        <v>40</v>
      </c>
      <c r="AD149" s="463">
        <v>140</v>
      </c>
      <c r="AE149" s="463" t="s">
        <v>167</v>
      </c>
      <c r="AF149" s="463" t="s">
        <v>167</v>
      </c>
      <c r="AG149" s="463" t="s">
        <v>167</v>
      </c>
      <c r="AH149" s="463">
        <v>9.1999999999999993</v>
      </c>
      <c r="AI149" s="463">
        <v>0.9</v>
      </c>
    </row>
    <row r="150" spans="27:35" x14ac:dyDescent="0.25">
      <c r="AA150" s="463">
        <v>143</v>
      </c>
      <c r="AB150" s="463" t="s">
        <v>173</v>
      </c>
      <c r="AC150" s="463">
        <v>65</v>
      </c>
      <c r="AD150" s="463">
        <v>140</v>
      </c>
      <c r="AE150" s="463" t="s">
        <v>525</v>
      </c>
      <c r="AF150" s="463" t="s">
        <v>167</v>
      </c>
      <c r="AG150" s="463" t="s">
        <v>525</v>
      </c>
      <c r="AH150" s="463">
        <v>6.1</v>
      </c>
      <c r="AI150" s="463">
        <v>0.9</v>
      </c>
    </row>
    <row r="151" spans="27:35" x14ac:dyDescent="0.25">
      <c r="AA151" s="463">
        <v>144</v>
      </c>
      <c r="AB151" s="463" t="s">
        <v>166</v>
      </c>
      <c r="AC151" s="463">
        <v>65</v>
      </c>
      <c r="AD151" s="463">
        <v>140</v>
      </c>
      <c r="AE151" s="463" t="s">
        <v>525</v>
      </c>
      <c r="AF151" s="463" t="s">
        <v>167</v>
      </c>
      <c r="AG151" s="463" t="s">
        <v>167</v>
      </c>
      <c r="AH151" s="463">
        <v>9.1999999999999993</v>
      </c>
      <c r="AI151" s="463">
        <v>0.9</v>
      </c>
    </row>
    <row r="152" spans="27:35" x14ac:dyDescent="0.25">
      <c r="AA152" s="463">
        <v>145</v>
      </c>
      <c r="AB152" s="463" t="s">
        <v>173</v>
      </c>
      <c r="AC152" s="463">
        <v>65</v>
      </c>
      <c r="AD152" s="463">
        <v>160</v>
      </c>
      <c r="AE152" s="463" t="s">
        <v>525</v>
      </c>
      <c r="AF152" s="463" t="s">
        <v>167</v>
      </c>
      <c r="AG152" s="463" t="s">
        <v>525</v>
      </c>
      <c r="AH152" s="463">
        <v>9.1999999999999993</v>
      </c>
      <c r="AI152" s="463">
        <v>1.9</v>
      </c>
    </row>
    <row r="153" spans="27:35" x14ac:dyDescent="0.25">
      <c r="AA153" s="463">
        <v>146</v>
      </c>
      <c r="AB153" s="463" t="s">
        <v>166</v>
      </c>
      <c r="AC153" s="463">
        <v>65</v>
      </c>
      <c r="AD153" s="463">
        <v>160</v>
      </c>
      <c r="AE153" s="463" t="s">
        <v>167</v>
      </c>
      <c r="AF153" s="463" t="s">
        <v>525</v>
      </c>
      <c r="AG153" s="463" t="s">
        <v>525</v>
      </c>
      <c r="AH153" s="463">
        <v>6.1</v>
      </c>
      <c r="AI153" s="463">
        <v>1.9</v>
      </c>
    </row>
    <row r="154" spans="27:35" x14ac:dyDescent="0.25">
      <c r="AA154" s="463">
        <v>147</v>
      </c>
      <c r="AB154" s="463" t="s">
        <v>166</v>
      </c>
      <c r="AC154" s="463">
        <v>65</v>
      </c>
      <c r="AD154" s="463">
        <v>160</v>
      </c>
      <c r="AE154" s="463" t="s">
        <v>167</v>
      </c>
      <c r="AF154" s="463" t="s">
        <v>167</v>
      </c>
      <c r="AG154" s="463" t="s">
        <v>167</v>
      </c>
      <c r="AH154" s="463">
        <v>6.1</v>
      </c>
      <c r="AI154" s="463">
        <v>1.9</v>
      </c>
    </row>
    <row r="155" spans="27:35" x14ac:dyDescent="0.25">
      <c r="AA155" s="463">
        <v>148</v>
      </c>
      <c r="AB155" s="463" t="s">
        <v>166</v>
      </c>
      <c r="AC155" s="463">
        <v>65</v>
      </c>
      <c r="AD155" s="463">
        <v>140</v>
      </c>
      <c r="AE155" s="463" t="s">
        <v>525</v>
      </c>
      <c r="AF155" s="463" t="s">
        <v>167</v>
      </c>
      <c r="AG155" s="463" t="s">
        <v>167</v>
      </c>
      <c r="AH155" s="463">
        <v>6.1</v>
      </c>
      <c r="AI155" s="463">
        <v>0.9</v>
      </c>
    </row>
    <row r="156" spans="27:35" x14ac:dyDescent="0.25">
      <c r="AA156" s="463">
        <v>149</v>
      </c>
      <c r="AB156" s="463" t="s">
        <v>173</v>
      </c>
      <c r="AC156" s="463">
        <v>65</v>
      </c>
      <c r="AD156" s="463">
        <v>160</v>
      </c>
      <c r="AE156" s="463" t="s">
        <v>525</v>
      </c>
      <c r="AF156" s="463" t="s">
        <v>525</v>
      </c>
      <c r="AG156" s="463" t="s">
        <v>167</v>
      </c>
      <c r="AH156" s="463">
        <v>6.1</v>
      </c>
      <c r="AI156" s="463">
        <v>1.9</v>
      </c>
    </row>
    <row r="157" spans="27:35" x14ac:dyDescent="0.25">
      <c r="AA157" s="463">
        <v>150</v>
      </c>
      <c r="AB157" s="463" t="s">
        <v>173</v>
      </c>
      <c r="AC157" s="463">
        <v>40</v>
      </c>
      <c r="AD157" s="463">
        <v>160</v>
      </c>
      <c r="AE157" s="463" t="s">
        <v>525</v>
      </c>
      <c r="AF157" s="463" t="s">
        <v>167</v>
      </c>
      <c r="AG157" s="463" t="s">
        <v>167</v>
      </c>
      <c r="AH157" s="463">
        <v>6.1</v>
      </c>
      <c r="AI157" s="463">
        <v>1.9</v>
      </c>
    </row>
    <row r="158" spans="27:35" x14ac:dyDescent="0.25">
      <c r="AA158" s="463">
        <v>151</v>
      </c>
      <c r="AB158" s="463" t="s">
        <v>173</v>
      </c>
      <c r="AC158" s="463">
        <v>65</v>
      </c>
      <c r="AD158" s="463">
        <v>160</v>
      </c>
      <c r="AE158" s="463" t="s">
        <v>525</v>
      </c>
      <c r="AF158" s="463" t="s">
        <v>525</v>
      </c>
      <c r="AG158" s="463" t="s">
        <v>167</v>
      </c>
      <c r="AH158" s="463">
        <v>9.1999999999999993</v>
      </c>
      <c r="AI158" s="463">
        <v>0.9</v>
      </c>
    </row>
    <row r="159" spans="27:35" x14ac:dyDescent="0.25">
      <c r="AA159" s="463">
        <v>152</v>
      </c>
      <c r="AB159" s="463" t="s">
        <v>166</v>
      </c>
      <c r="AC159" s="463">
        <v>65</v>
      </c>
      <c r="AD159" s="463">
        <v>160</v>
      </c>
      <c r="AE159" s="463" t="s">
        <v>167</v>
      </c>
      <c r="AF159" s="463" t="s">
        <v>167</v>
      </c>
      <c r="AG159" s="463" t="s">
        <v>167</v>
      </c>
      <c r="AH159" s="463">
        <v>9.1999999999999993</v>
      </c>
      <c r="AI159" s="463">
        <v>1.9</v>
      </c>
    </row>
    <row r="160" spans="27:35" x14ac:dyDescent="0.25">
      <c r="AA160" s="463">
        <v>153</v>
      </c>
      <c r="AB160" s="463" t="s">
        <v>173</v>
      </c>
      <c r="AC160" s="463">
        <v>65</v>
      </c>
      <c r="AD160" s="463">
        <v>160</v>
      </c>
      <c r="AE160" s="463" t="s">
        <v>525</v>
      </c>
      <c r="AF160" s="463" t="s">
        <v>525</v>
      </c>
      <c r="AG160" s="463" t="s">
        <v>167</v>
      </c>
      <c r="AH160" s="463">
        <v>6.1</v>
      </c>
      <c r="AI160" s="463">
        <v>0.9</v>
      </c>
    </row>
    <row r="161" spans="27:35" x14ac:dyDescent="0.25">
      <c r="AA161" s="463">
        <v>154</v>
      </c>
      <c r="AB161" s="463" t="s">
        <v>166</v>
      </c>
      <c r="AC161" s="463">
        <v>65</v>
      </c>
      <c r="AD161" s="463">
        <v>160</v>
      </c>
      <c r="AE161" s="463" t="s">
        <v>167</v>
      </c>
      <c r="AF161" s="463" t="s">
        <v>167</v>
      </c>
      <c r="AG161" s="463" t="s">
        <v>167</v>
      </c>
      <c r="AH161" s="463">
        <v>9.1999999999999993</v>
      </c>
      <c r="AI161" s="463">
        <v>0.9</v>
      </c>
    </row>
    <row r="162" spans="27:35" x14ac:dyDescent="0.25">
      <c r="AA162" s="463">
        <v>155</v>
      </c>
      <c r="AB162" s="463" t="s">
        <v>166</v>
      </c>
      <c r="AC162" s="463">
        <v>40</v>
      </c>
      <c r="AD162" s="463">
        <v>160</v>
      </c>
      <c r="AE162" s="463" t="s">
        <v>525</v>
      </c>
      <c r="AF162" s="463" t="s">
        <v>167</v>
      </c>
      <c r="AG162" s="463" t="s">
        <v>167</v>
      </c>
      <c r="AH162" s="463">
        <v>6.1</v>
      </c>
      <c r="AI162" s="463">
        <v>1.9</v>
      </c>
    </row>
    <row r="163" spans="27:35" x14ac:dyDescent="0.25">
      <c r="AA163" s="463">
        <v>156</v>
      </c>
      <c r="AB163" s="463" t="s">
        <v>173</v>
      </c>
      <c r="AC163" s="463">
        <v>65</v>
      </c>
      <c r="AD163" s="463">
        <v>140</v>
      </c>
      <c r="AE163" s="463" t="s">
        <v>525</v>
      </c>
      <c r="AF163" s="463" t="s">
        <v>525</v>
      </c>
      <c r="AG163" s="463" t="s">
        <v>167</v>
      </c>
      <c r="AH163" s="463">
        <v>9.1999999999999993</v>
      </c>
      <c r="AI163" s="463">
        <v>1.9</v>
      </c>
    </row>
    <row r="164" spans="27:35" x14ac:dyDescent="0.25">
      <c r="AA164" s="463">
        <v>157</v>
      </c>
      <c r="AB164" s="463" t="s">
        <v>166</v>
      </c>
      <c r="AC164" s="463">
        <v>40</v>
      </c>
      <c r="AD164" s="463">
        <v>140</v>
      </c>
      <c r="AE164" s="463" t="s">
        <v>167</v>
      </c>
      <c r="AF164" s="463" t="s">
        <v>525</v>
      </c>
      <c r="AG164" s="463" t="s">
        <v>525</v>
      </c>
      <c r="AH164" s="463">
        <v>9.1999999999999993</v>
      </c>
      <c r="AI164" s="463">
        <v>1.9</v>
      </c>
    </row>
    <row r="165" spans="27:35" x14ac:dyDescent="0.25">
      <c r="AA165" s="463">
        <v>158</v>
      </c>
      <c r="AB165" s="463" t="s">
        <v>173</v>
      </c>
      <c r="AC165" s="463">
        <v>40</v>
      </c>
      <c r="AD165" s="463">
        <v>140</v>
      </c>
      <c r="AE165" s="463" t="s">
        <v>167</v>
      </c>
      <c r="AF165" s="463" t="s">
        <v>525</v>
      </c>
      <c r="AG165" s="463" t="s">
        <v>167</v>
      </c>
      <c r="AH165" s="463">
        <v>6.1</v>
      </c>
      <c r="AI165" s="463">
        <v>1.9</v>
      </c>
    </row>
    <row r="166" spans="27:35" x14ac:dyDescent="0.25">
      <c r="AA166" s="463">
        <v>159</v>
      </c>
      <c r="AB166" s="463" t="s">
        <v>173</v>
      </c>
      <c r="AC166" s="463">
        <v>40</v>
      </c>
      <c r="AD166" s="463">
        <v>140</v>
      </c>
      <c r="AE166" s="463" t="s">
        <v>525</v>
      </c>
      <c r="AF166" s="463" t="s">
        <v>525</v>
      </c>
      <c r="AG166" s="463" t="s">
        <v>525</v>
      </c>
      <c r="AH166" s="463">
        <v>9.1999999999999993</v>
      </c>
      <c r="AI166" s="463">
        <v>0.9</v>
      </c>
    </row>
    <row r="167" spans="27:35" x14ac:dyDescent="0.25">
      <c r="AA167" s="463">
        <v>160</v>
      </c>
      <c r="AB167" s="463" t="s">
        <v>173</v>
      </c>
      <c r="AC167" s="463">
        <v>40</v>
      </c>
      <c r="AD167" s="463">
        <v>140</v>
      </c>
      <c r="AE167" s="463" t="s">
        <v>167</v>
      </c>
      <c r="AF167" s="463" t="s">
        <v>167</v>
      </c>
      <c r="AG167" s="463" t="s">
        <v>167</v>
      </c>
      <c r="AH167" s="463">
        <v>6.1</v>
      </c>
      <c r="AI167" s="463">
        <v>0.9</v>
      </c>
    </row>
    <row r="168" spans="27:35" x14ac:dyDescent="0.25">
      <c r="AA168" s="463">
        <v>161</v>
      </c>
      <c r="AB168" s="463" t="s">
        <v>166</v>
      </c>
      <c r="AC168" s="463">
        <v>65</v>
      </c>
      <c r="AD168" s="463">
        <v>160</v>
      </c>
      <c r="AE168" s="463" t="s">
        <v>167</v>
      </c>
      <c r="AF168" s="463" t="s">
        <v>525</v>
      </c>
      <c r="AG168" s="463" t="s">
        <v>525</v>
      </c>
      <c r="AH168" s="463">
        <v>9.1999999999999993</v>
      </c>
      <c r="AI168" s="463">
        <v>1.9</v>
      </c>
    </row>
    <row r="169" spans="27:35" x14ac:dyDescent="0.25">
      <c r="AA169" s="463">
        <v>162</v>
      </c>
      <c r="AB169" s="463" t="s">
        <v>173</v>
      </c>
      <c r="AC169" s="463">
        <v>40</v>
      </c>
      <c r="AD169" s="463">
        <v>160</v>
      </c>
      <c r="AE169" s="463" t="s">
        <v>525</v>
      </c>
      <c r="AF169" s="463" t="s">
        <v>167</v>
      </c>
      <c r="AG169" s="463" t="s">
        <v>525</v>
      </c>
      <c r="AH169" s="463">
        <v>9.1999999999999993</v>
      </c>
      <c r="AI169" s="463">
        <v>1.9</v>
      </c>
    </row>
    <row r="170" spans="27:35" x14ac:dyDescent="0.25">
      <c r="AA170" s="463">
        <v>163</v>
      </c>
      <c r="AB170" s="463" t="s">
        <v>173</v>
      </c>
      <c r="AC170" s="463">
        <v>40</v>
      </c>
      <c r="AD170" s="463">
        <v>160</v>
      </c>
      <c r="AE170" s="463" t="s">
        <v>167</v>
      </c>
      <c r="AF170" s="463" t="s">
        <v>167</v>
      </c>
      <c r="AG170" s="463" t="s">
        <v>525</v>
      </c>
      <c r="AH170" s="463">
        <v>6.1</v>
      </c>
      <c r="AI170" s="463">
        <v>0.9</v>
      </c>
    </row>
    <row r="171" spans="27:35" x14ac:dyDescent="0.25">
      <c r="AA171" s="463">
        <v>164</v>
      </c>
      <c r="AB171" s="463" t="s">
        <v>166</v>
      </c>
      <c r="AC171" s="463">
        <v>65</v>
      </c>
      <c r="AD171" s="463">
        <v>160</v>
      </c>
      <c r="AE171" s="463" t="s">
        <v>525</v>
      </c>
      <c r="AF171" s="463" t="s">
        <v>167</v>
      </c>
      <c r="AG171" s="463" t="s">
        <v>525</v>
      </c>
      <c r="AH171" s="463">
        <v>9.1999999999999993</v>
      </c>
      <c r="AI171" s="463">
        <v>1.9</v>
      </c>
    </row>
    <row r="172" spans="27:35" x14ac:dyDescent="0.25">
      <c r="AA172" s="463">
        <v>165</v>
      </c>
      <c r="AB172" s="463" t="s">
        <v>166</v>
      </c>
      <c r="AC172" s="463">
        <v>40</v>
      </c>
      <c r="AD172" s="463">
        <v>140</v>
      </c>
      <c r="AE172" s="463" t="s">
        <v>167</v>
      </c>
      <c r="AF172" s="463" t="s">
        <v>167</v>
      </c>
      <c r="AG172" s="463" t="s">
        <v>167</v>
      </c>
      <c r="AH172" s="463">
        <v>9.1999999999999993</v>
      </c>
      <c r="AI172" s="463">
        <v>1.9</v>
      </c>
    </row>
    <row r="173" spans="27:35" x14ac:dyDescent="0.25">
      <c r="AA173" s="463">
        <v>166</v>
      </c>
      <c r="AB173" s="463" t="s">
        <v>166</v>
      </c>
      <c r="AC173" s="463">
        <v>40</v>
      </c>
      <c r="AD173" s="463">
        <v>140</v>
      </c>
      <c r="AE173" s="463" t="s">
        <v>525</v>
      </c>
      <c r="AF173" s="463" t="s">
        <v>525</v>
      </c>
      <c r="AG173" s="463" t="s">
        <v>525</v>
      </c>
      <c r="AH173" s="463">
        <v>9.1999999999999993</v>
      </c>
      <c r="AI173" s="463">
        <v>0.9</v>
      </c>
    </row>
    <row r="174" spans="27:35" x14ac:dyDescent="0.25">
      <c r="AA174" s="463">
        <v>167</v>
      </c>
      <c r="AB174" s="463" t="s">
        <v>166</v>
      </c>
      <c r="AC174" s="463">
        <v>40</v>
      </c>
      <c r="AD174" s="463">
        <v>140</v>
      </c>
      <c r="AE174" s="463" t="s">
        <v>525</v>
      </c>
      <c r="AF174" s="463" t="s">
        <v>167</v>
      </c>
      <c r="AG174" s="463" t="s">
        <v>167</v>
      </c>
      <c r="AH174" s="463">
        <v>9.1999999999999993</v>
      </c>
      <c r="AI174" s="463">
        <v>1.9</v>
      </c>
    </row>
    <row r="175" spans="27:35" x14ac:dyDescent="0.25">
      <c r="AA175" s="463">
        <v>168</v>
      </c>
      <c r="AB175" s="463" t="s">
        <v>166</v>
      </c>
      <c r="AC175" s="463">
        <v>40</v>
      </c>
      <c r="AD175" s="463">
        <v>160</v>
      </c>
      <c r="AE175" s="463" t="s">
        <v>167</v>
      </c>
      <c r="AF175" s="463" t="s">
        <v>167</v>
      </c>
      <c r="AG175" s="463" t="s">
        <v>525</v>
      </c>
      <c r="AH175" s="463">
        <v>6.1</v>
      </c>
      <c r="AI175" s="463">
        <v>1.9</v>
      </c>
    </row>
    <row r="176" spans="27:35" x14ac:dyDescent="0.25">
      <c r="AA176" s="463">
        <v>169</v>
      </c>
      <c r="AB176" s="463" t="s">
        <v>173</v>
      </c>
      <c r="AC176" s="463">
        <v>65</v>
      </c>
      <c r="AD176" s="463">
        <v>140</v>
      </c>
      <c r="AE176" s="463" t="s">
        <v>525</v>
      </c>
      <c r="AF176" s="463" t="s">
        <v>167</v>
      </c>
      <c r="AG176" s="463" t="s">
        <v>525</v>
      </c>
      <c r="AH176" s="463">
        <v>6.1</v>
      </c>
      <c r="AI176" s="463">
        <v>1.9</v>
      </c>
    </row>
    <row r="177" spans="27:35" x14ac:dyDescent="0.25">
      <c r="AA177" s="463">
        <v>170</v>
      </c>
      <c r="AB177" s="463" t="s">
        <v>166</v>
      </c>
      <c r="AC177" s="463">
        <v>40</v>
      </c>
      <c r="AD177" s="463">
        <v>160</v>
      </c>
      <c r="AE177" s="463" t="s">
        <v>525</v>
      </c>
      <c r="AF177" s="463" t="s">
        <v>525</v>
      </c>
      <c r="AG177" s="463" t="s">
        <v>525</v>
      </c>
      <c r="AH177" s="463">
        <v>9.1999999999999993</v>
      </c>
      <c r="AI177" s="463">
        <v>0.9</v>
      </c>
    </row>
    <row r="178" spans="27:35" x14ac:dyDescent="0.25">
      <c r="AA178" s="463">
        <v>171</v>
      </c>
      <c r="AB178" s="463" t="s">
        <v>166</v>
      </c>
      <c r="AC178" s="463">
        <v>40</v>
      </c>
      <c r="AD178" s="463">
        <v>160</v>
      </c>
      <c r="AE178" s="463" t="s">
        <v>167</v>
      </c>
      <c r="AF178" s="463" t="s">
        <v>167</v>
      </c>
      <c r="AG178" s="463" t="s">
        <v>167</v>
      </c>
      <c r="AH178" s="463">
        <v>9.1999999999999993</v>
      </c>
      <c r="AI178" s="463">
        <v>0.9</v>
      </c>
    </row>
    <row r="179" spans="27:35" x14ac:dyDescent="0.25">
      <c r="AA179" s="463">
        <v>172</v>
      </c>
      <c r="AB179" s="463" t="s">
        <v>173</v>
      </c>
      <c r="AC179" s="463">
        <v>40</v>
      </c>
      <c r="AD179" s="463">
        <v>140</v>
      </c>
      <c r="AE179" s="463" t="s">
        <v>525</v>
      </c>
      <c r="AF179" s="463" t="s">
        <v>167</v>
      </c>
      <c r="AG179" s="463" t="s">
        <v>525</v>
      </c>
      <c r="AH179" s="463">
        <v>6.1</v>
      </c>
      <c r="AI179" s="463">
        <v>0.9</v>
      </c>
    </row>
    <row r="180" spans="27:35" x14ac:dyDescent="0.25">
      <c r="AA180" s="463">
        <v>173</v>
      </c>
      <c r="AB180" s="463" t="s">
        <v>166</v>
      </c>
      <c r="AC180" s="463">
        <v>40</v>
      </c>
      <c r="AD180" s="463">
        <v>160</v>
      </c>
      <c r="AE180" s="463" t="s">
        <v>167</v>
      </c>
      <c r="AF180" s="463" t="s">
        <v>167</v>
      </c>
      <c r="AG180" s="463" t="s">
        <v>525</v>
      </c>
      <c r="AH180" s="463">
        <v>9.1999999999999993</v>
      </c>
      <c r="AI180" s="463">
        <v>0.9</v>
      </c>
    </row>
    <row r="181" spans="27:35" x14ac:dyDescent="0.25">
      <c r="AA181" s="463">
        <v>174</v>
      </c>
      <c r="AB181" s="463" t="s">
        <v>173</v>
      </c>
      <c r="AC181" s="463">
        <v>65</v>
      </c>
      <c r="AD181" s="463">
        <v>160</v>
      </c>
      <c r="AE181" s="463" t="s">
        <v>525</v>
      </c>
      <c r="AF181" s="463" t="s">
        <v>525</v>
      </c>
      <c r="AG181" s="463" t="s">
        <v>525</v>
      </c>
      <c r="AH181" s="463">
        <v>9.1999999999999993</v>
      </c>
      <c r="AI181" s="463">
        <v>0.9</v>
      </c>
    </row>
    <row r="182" spans="27:35" x14ac:dyDescent="0.25">
      <c r="AA182" s="463">
        <v>175</v>
      </c>
      <c r="AB182" s="463" t="s">
        <v>173</v>
      </c>
      <c r="AC182" s="463">
        <v>65</v>
      </c>
      <c r="AD182" s="463">
        <v>160</v>
      </c>
      <c r="AE182" s="463" t="s">
        <v>525</v>
      </c>
      <c r="AF182" s="463" t="s">
        <v>525</v>
      </c>
      <c r="AG182" s="463" t="s">
        <v>525</v>
      </c>
      <c r="AH182" s="463">
        <v>6.1</v>
      </c>
      <c r="AI182" s="463">
        <v>0.9</v>
      </c>
    </row>
    <row r="183" spans="27:35" x14ac:dyDescent="0.25">
      <c r="AA183" s="463">
        <v>176</v>
      </c>
      <c r="AB183" s="463" t="s">
        <v>173</v>
      </c>
      <c r="AC183" s="463">
        <v>40</v>
      </c>
      <c r="AD183" s="463">
        <v>160</v>
      </c>
      <c r="AE183" s="463" t="s">
        <v>167</v>
      </c>
      <c r="AF183" s="463" t="s">
        <v>167</v>
      </c>
      <c r="AG183" s="463" t="s">
        <v>167</v>
      </c>
      <c r="AH183" s="463">
        <v>6.1</v>
      </c>
      <c r="AI183" s="463">
        <v>0.9</v>
      </c>
    </row>
    <row r="184" spans="27:35" x14ac:dyDescent="0.25">
      <c r="AA184" s="463">
        <v>177</v>
      </c>
      <c r="AB184" s="463" t="s">
        <v>166</v>
      </c>
      <c r="AC184" s="463">
        <v>40</v>
      </c>
      <c r="AD184" s="463">
        <v>140</v>
      </c>
      <c r="AE184" s="463" t="s">
        <v>167</v>
      </c>
      <c r="AF184" s="463" t="s">
        <v>167</v>
      </c>
      <c r="AG184" s="463" t="s">
        <v>167</v>
      </c>
      <c r="AH184" s="463">
        <v>6.1</v>
      </c>
      <c r="AI184" s="463">
        <v>1.9</v>
      </c>
    </row>
    <row r="185" spans="27:35" x14ac:dyDescent="0.25">
      <c r="AA185" s="463">
        <v>178</v>
      </c>
      <c r="AB185" s="463" t="s">
        <v>166</v>
      </c>
      <c r="AC185" s="463">
        <v>65</v>
      </c>
      <c r="AD185" s="463">
        <v>160</v>
      </c>
      <c r="AE185" s="463" t="s">
        <v>167</v>
      </c>
      <c r="AF185" s="463" t="s">
        <v>167</v>
      </c>
      <c r="AG185" s="463" t="s">
        <v>525</v>
      </c>
      <c r="AH185" s="463">
        <v>6.1</v>
      </c>
      <c r="AI185" s="463">
        <v>1.9</v>
      </c>
    </row>
    <row r="186" spans="27:35" x14ac:dyDescent="0.25">
      <c r="AA186" s="463">
        <v>179</v>
      </c>
      <c r="AB186" s="463" t="s">
        <v>173</v>
      </c>
      <c r="AC186" s="463">
        <v>65</v>
      </c>
      <c r="AD186" s="463">
        <v>160</v>
      </c>
      <c r="AE186" s="463" t="s">
        <v>167</v>
      </c>
      <c r="AF186" s="463" t="s">
        <v>525</v>
      </c>
      <c r="AG186" s="463" t="s">
        <v>167</v>
      </c>
      <c r="AH186" s="463">
        <v>6.1</v>
      </c>
      <c r="AI186" s="463">
        <v>1.9</v>
      </c>
    </row>
    <row r="187" spans="27:35" x14ac:dyDescent="0.25">
      <c r="AA187" s="463">
        <v>180</v>
      </c>
      <c r="AB187" s="463" t="s">
        <v>173</v>
      </c>
      <c r="AC187" s="463">
        <v>40</v>
      </c>
      <c r="AD187" s="463">
        <v>140</v>
      </c>
      <c r="AE187" s="463" t="s">
        <v>167</v>
      </c>
      <c r="AF187" s="463" t="s">
        <v>525</v>
      </c>
      <c r="AG187" s="463" t="s">
        <v>167</v>
      </c>
      <c r="AH187" s="463">
        <v>9.1999999999999993</v>
      </c>
      <c r="AI187" s="463">
        <v>1.9</v>
      </c>
    </row>
    <row r="188" spans="27:35" x14ac:dyDescent="0.25">
      <c r="AA188" s="463">
        <v>181</v>
      </c>
      <c r="AB188" s="463" t="s">
        <v>166</v>
      </c>
      <c r="AC188" s="463">
        <v>65</v>
      </c>
      <c r="AD188" s="463">
        <v>140</v>
      </c>
      <c r="AE188" s="463" t="s">
        <v>167</v>
      </c>
      <c r="AF188" s="463" t="s">
        <v>167</v>
      </c>
      <c r="AG188" s="463" t="s">
        <v>167</v>
      </c>
      <c r="AH188" s="463">
        <v>6.1</v>
      </c>
      <c r="AI188" s="463">
        <v>1.9</v>
      </c>
    </row>
    <row r="189" spans="27:35" x14ac:dyDescent="0.25">
      <c r="AA189" s="463">
        <v>182</v>
      </c>
      <c r="AB189" s="463" t="s">
        <v>166</v>
      </c>
      <c r="AC189" s="463">
        <v>65</v>
      </c>
      <c r="AD189" s="463">
        <v>160</v>
      </c>
      <c r="AE189" s="463" t="s">
        <v>167</v>
      </c>
      <c r="AF189" s="463" t="s">
        <v>525</v>
      </c>
      <c r="AG189" s="463" t="s">
        <v>167</v>
      </c>
      <c r="AH189" s="463">
        <v>6.1</v>
      </c>
      <c r="AI189" s="463">
        <v>0.9</v>
      </c>
    </row>
    <row r="190" spans="27:35" x14ac:dyDescent="0.25">
      <c r="AA190" s="463">
        <v>183</v>
      </c>
      <c r="AB190" s="463" t="s">
        <v>173</v>
      </c>
      <c r="AC190" s="463">
        <v>40</v>
      </c>
      <c r="AD190" s="463">
        <v>160</v>
      </c>
      <c r="AE190" s="463" t="s">
        <v>525</v>
      </c>
      <c r="AF190" s="463" t="s">
        <v>525</v>
      </c>
      <c r="AG190" s="463" t="s">
        <v>167</v>
      </c>
      <c r="AH190" s="463">
        <v>9.1999999999999993</v>
      </c>
      <c r="AI190" s="463">
        <v>0.9</v>
      </c>
    </row>
    <row r="191" spans="27:35" x14ac:dyDescent="0.25">
      <c r="AA191" s="463">
        <v>184</v>
      </c>
      <c r="AB191" s="463" t="s">
        <v>166</v>
      </c>
      <c r="AC191" s="463">
        <v>40</v>
      </c>
      <c r="AD191" s="463">
        <v>160</v>
      </c>
      <c r="AE191" s="463" t="s">
        <v>525</v>
      </c>
      <c r="AF191" s="463" t="s">
        <v>167</v>
      </c>
      <c r="AG191" s="463" t="s">
        <v>525</v>
      </c>
      <c r="AH191" s="463">
        <v>6.1</v>
      </c>
      <c r="AI191" s="463">
        <v>0.9</v>
      </c>
    </row>
    <row r="192" spans="27:35" x14ac:dyDescent="0.25">
      <c r="AA192" s="463">
        <v>185</v>
      </c>
      <c r="AB192" s="463" t="s">
        <v>173</v>
      </c>
      <c r="AC192" s="463">
        <v>65</v>
      </c>
      <c r="AD192" s="463">
        <v>160</v>
      </c>
      <c r="AE192" s="463" t="s">
        <v>167</v>
      </c>
      <c r="AF192" s="463" t="s">
        <v>167</v>
      </c>
      <c r="AG192" s="463" t="s">
        <v>525</v>
      </c>
      <c r="AH192" s="463">
        <v>6.1</v>
      </c>
      <c r="AI192" s="463">
        <v>0.9</v>
      </c>
    </row>
    <row r="193" spans="27:35" x14ac:dyDescent="0.25">
      <c r="AA193" s="463">
        <v>186</v>
      </c>
      <c r="AB193" s="463" t="s">
        <v>166</v>
      </c>
      <c r="AC193" s="463">
        <v>65</v>
      </c>
      <c r="AD193" s="463">
        <v>140</v>
      </c>
      <c r="AE193" s="463" t="s">
        <v>525</v>
      </c>
      <c r="AF193" s="463" t="s">
        <v>167</v>
      </c>
      <c r="AG193" s="463" t="s">
        <v>525</v>
      </c>
      <c r="AH193" s="463">
        <v>6.1</v>
      </c>
      <c r="AI193" s="463">
        <v>1.9</v>
      </c>
    </row>
    <row r="194" spans="27:35" x14ac:dyDescent="0.25">
      <c r="AA194" s="463">
        <v>187</v>
      </c>
      <c r="AB194" s="463" t="s">
        <v>166</v>
      </c>
      <c r="AC194" s="463">
        <v>65</v>
      </c>
      <c r="AD194" s="463">
        <v>160</v>
      </c>
      <c r="AE194" s="463" t="s">
        <v>525</v>
      </c>
      <c r="AF194" s="463" t="s">
        <v>525</v>
      </c>
      <c r="AG194" s="463" t="s">
        <v>525</v>
      </c>
      <c r="AH194" s="463">
        <v>6.1</v>
      </c>
      <c r="AI194" s="463">
        <v>1.9</v>
      </c>
    </row>
    <row r="195" spans="27:35" x14ac:dyDescent="0.25">
      <c r="AA195" s="463">
        <v>188</v>
      </c>
      <c r="AB195" s="463" t="s">
        <v>166</v>
      </c>
      <c r="AC195" s="463">
        <v>65</v>
      </c>
      <c r="AD195" s="463">
        <v>140</v>
      </c>
      <c r="AE195" s="463" t="s">
        <v>167</v>
      </c>
      <c r="AF195" s="463" t="s">
        <v>167</v>
      </c>
      <c r="AG195" s="463" t="s">
        <v>525</v>
      </c>
      <c r="AH195" s="463">
        <v>9.1999999999999993</v>
      </c>
      <c r="AI195" s="463">
        <v>1.9</v>
      </c>
    </row>
    <row r="196" spans="27:35" x14ac:dyDescent="0.25">
      <c r="AA196" s="463">
        <v>189</v>
      </c>
      <c r="AB196" s="463" t="s">
        <v>166</v>
      </c>
      <c r="AC196" s="463">
        <v>40</v>
      </c>
      <c r="AD196" s="463">
        <v>160</v>
      </c>
      <c r="AE196" s="463" t="s">
        <v>525</v>
      </c>
      <c r="AF196" s="463" t="s">
        <v>525</v>
      </c>
      <c r="AG196" s="463" t="s">
        <v>525</v>
      </c>
      <c r="AH196" s="463">
        <v>9.1999999999999993</v>
      </c>
      <c r="AI196" s="463">
        <v>1.9</v>
      </c>
    </row>
    <row r="197" spans="27:35" x14ac:dyDescent="0.25">
      <c r="AA197" s="463">
        <v>190</v>
      </c>
      <c r="AB197" s="463" t="s">
        <v>166</v>
      </c>
      <c r="AC197" s="463">
        <v>40</v>
      </c>
      <c r="AD197" s="463">
        <v>160</v>
      </c>
      <c r="AE197" s="463" t="s">
        <v>167</v>
      </c>
      <c r="AF197" s="463" t="s">
        <v>525</v>
      </c>
      <c r="AG197" s="463" t="s">
        <v>167</v>
      </c>
      <c r="AH197" s="463">
        <v>6.1</v>
      </c>
      <c r="AI197" s="463">
        <v>0.9</v>
      </c>
    </row>
    <row r="198" spans="27:35" x14ac:dyDescent="0.25">
      <c r="AA198" s="463">
        <v>191</v>
      </c>
      <c r="AB198" s="463" t="s">
        <v>173</v>
      </c>
      <c r="AC198" s="463">
        <v>65</v>
      </c>
      <c r="AD198" s="463">
        <v>160</v>
      </c>
      <c r="AE198" s="463" t="s">
        <v>167</v>
      </c>
      <c r="AF198" s="463" t="s">
        <v>167</v>
      </c>
      <c r="AG198" s="463" t="s">
        <v>525</v>
      </c>
      <c r="AH198" s="463">
        <v>9.1999999999999993</v>
      </c>
      <c r="AI198" s="463">
        <v>0.9</v>
      </c>
    </row>
    <row r="199" spans="27:35" x14ac:dyDescent="0.25">
      <c r="AA199" s="463">
        <v>192</v>
      </c>
      <c r="AB199" s="463" t="s">
        <v>166</v>
      </c>
      <c r="AC199" s="463">
        <v>65</v>
      </c>
      <c r="AD199" s="463">
        <v>160</v>
      </c>
      <c r="AE199" s="463" t="s">
        <v>167</v>
      </c>
      <c r="AF199" s="463" t="s">
        <v>525</v>
      </c>
      <c r="AG199" s="463" t="s">
        <v>167</v>
      </c>
      <c r="AH199" s="463">
        <v>9.1999999999999993</v>
      </c>
      <c r="AI199" s="463">
        <v>0.9</v>
      </c>
    </row>
    <row r="200" spans="27:35" x14ac:dyDescent="0.25">
      <c r="AA200" s="463">
        <v>193</v>
      </c>
      <c r="AB200" s="463" t="s">
        <v>173</v>
      </c>
      <c r="AC200" s="463">
        <v>40</v>
      </c>
      <c r="AD200" s="463">
        <v>140</v>
      </c>
      <c r="AE200" s="463" t="s">
        <v>167</v>
      </c>
      <c r="AF200" s="463" t="s">
        <v>167</v>
      </c>
      <c r="AG200" s="463" t="s">
        <v>167</v>
      </c>
      <c r="AH200" s="463">
        <v>6.1</v>
      </c>
      <c r="AI200" s="463">
        <v>1.9</v>
      </c>
    </row>
    <row r="201" spans="27:35" x14ac:dyDescent="0.25">
      <c r="AA201" s="463">
        <v>194</v>
      </c>
      <c r="AB201" s="463" t="s">
        <v>173</v>
      </c>
      <c r="AC201" s="463">
        <v>40</v>
      </c>
      <c r="AD201" s="463">
        <v>140</v>
      </c>
      <c r="AE201" s="463" t="s">
        <v>167</v>
      </c>
      <c r="AF201" s="463" t="s">
        <v>525</v>
      </c>
      <c r="AG201" s="463" t="s">
        <v>167</v>
      </c>
      <c r="AH201" s="463">
        <v>6.1</v>
      </c>
      <c r="AI201" s="463">
        <v>0.9</v>
      </c>
    </row>
    <row r="202" spans="27:35" x14ac:dyDescent="0.25">
      <c r="AA202" s="463">
        <v>195</v>
      </c>
      <c r="AB202" s="463" t="s">
        <v>166</v>
      </c>
      <c r="AC202" s="463">
        <v>65</v>
      </c>
      <c r="AD202" s="463">
        <v>140</v>
      </c>
      <c r="AE202" s="463" t="s">
        <v>525</v>
      </c>
      <c r="AF202" s="463" t="s">
        <v>167</v>
      </c>
      <c r="AG202" s="463" t="s">
        <v>525</v>
      </c>
      <c r="AH202" s="463">
        <v>9.1999999999999993</v>
      </c>
      <c r="AI202" s="463">
        <v>1.9</v>
      </c>
    </row>
    <row r="203" spans="27:35" x14ac:dyDescent="0.25">
      <c r="AA203" s="463">
        <v>196</v>
      </c>
      <c r="AB203" s="463" t="s">
        <v>166</v>
      </c>
      <c r="AC203" s="463">
        <v>40</v>
      </c>
      <c r="AD203" s="463">
        <v>140</v>
      </c>
      <c r="AE203" s="463" t="s">
        <v>525</v>
      </c>
      <c r="AF203" s="463" t="s">
        <v>167</v>
      </c>
      <c r="AG203" s="463" t="s">
        <v>167</v>
      </c>
      <c r="AH203" s="463">
        <v>6.1</v>
      </c>
      <c r="AI203" s="463">
        <v>1.9</v>
      </c>
    </row>
    <row r="204" spans="27:35" x14ac:dyDescent="0.25">
      <c r="AA204" s="463">
        <v>197</v>
      </c>
      <c r="AB204" s="463" t="s">
        <v>173</v>
      </c>
      <c r="AC204" s="463">
        <v>40</v>
      </c>
      <c r="AD204" s="463">
        <v>140</v>
      </c>
      <c r="AE204" s="463" t="s">
        <v>167</v>
      </c>
      <c r="AF204" s="463" t="s">
        <v>525</v>
      </c>
      <c r="AG204" s="463" t="s">
        <v>525</v>
      </c>
      <c r="AH204" s="463">
        <v>6.1</v>
      </c>
      <c r="AI204" s="463">
        <v>0.9</v>
      </c>
    </row>
    <row r="205" spans="27:35" x14ac:dyDescent="0.25">
      <c r="AA205" s="463">
        <v>198</v>
      </c>
      <c r="AB205" s="463" t="s">
        <v>173</v>
      </c>
      <c r="AC205" s="463">
        <v>40</v>
      </c>
      <c r="AD205" s="463">
        <v>160</v>
      </c>
      <c r="AE205" s="463" t="s">
        <v>167</v>
      </c>
      <c r="AF205" s="463" t="s">
        <v>167</v>
      </c>
      <c r="AG205" s="463" t="s">
        <v>167</v>
      </c>
      <c r="AH205" s="463">
        <v>6.1</v>
      </c>
      <c r="AI205" s="463">
        <v>1.9</v>
      </c>
    </row>
    <row r="206" spans="27:35" x14ac:dyDescent="0.25">
      <c r="AA206" s="463">
        <v>199</v>
      </c>
      <c r="AB206" s="463" t="s">
        <v>166</v>
      </c>
      <c r="AC206" s="463">
        <v>65</v>
      </c>
      <c r="AD206" s="463">
        <v>140</v>
      </c>
      <c r="AE206" s="463" t="s">
        <v>167</v>
      </c>
      <c r="AF206" s="463" t="s">
        <v>525</v>
      </c>
      <c r="AG206" s="463" t="s">
        <v>525</v>
      </c>
      <c r="AH206" s="463">
        <v>9.1999999999999993</v>
      </c>
      <c r="AI206" s="463">
        <v>1.9</v>
      </c>
    </row>
    <row r="207" spans="27:35" x14ac:dyDescent="0.25">
      <c r="AA207" s="463">
        <v>200</v>
      </c>
      <c r="AB207" s="463" t="s">
        <v>173</v>
      </c>
      <c r="AC207" s="463">
        <v>65</v>
      </c>
      <c r="AD207" s="463">
        <v>160</v>
      </c>
      <c r="AE207" s="463" t="s">
        <v>167</v>
      </c>
      <c r="AF207" s="463" t="s">
        <v>525</v>
      </c>
      <c r="AG207" s="463" t="s">
        <v>525</v>
      </c>
      <c r="AH207" s="463">
        <v>9.1999999999999993</v>
      </c>
      <c r="AI207" s="463">
        <v>1.9</v>
      </c>
    </row>
    <row r="208" spans="27:35" x14ac:dyDescent="0.25">
      <c r="AA208" s="463">
        <v>201</v>
      </c>
      <c r="AB208" s="463" t="s">
        <v>173</v>
      </c>
      <c r="AC208" s="463">
        <v>65</v>
      </c>
      <c r="AD208" s="463">
        <v>160</v>
      </c>
      <c r="AE208" s="463" t="s">
        <v>525</v>
      </c>
      <c r="AF208" s="463" t="s">
        <v>167</v>
      </c>
      <c r="AG208" s="463" t="s">
        <v>167</v>
      </c>
      <c r="AH208" s="463">
        <v>9.1999999999999993</v>
      </c>
      <c r="AI208" s="463">
        <v>0.9</v>
      </c>
    </row>
    <row r="209" spans="27:35" x14ac:dyDescent="0.25">
      <c r="AA209" s="463">
        <v>202</v>
      </c>
      <c r="AB209" s="463" t="s">
        <v>173</v>
      </c>
      <c r="AC209" s="463">
        <v>65</v>
      </c>
      <c r="AD209" s="463">
        <v>140</v>
      </c>
      <c r="AE209" s="463" t="s">
        <v>525</v>
      </c>
      <c r="AF209" s="463" t="s">
        <v>167</v>
      </c>
      <c r="AG209" s="463" t="s">
        <v>525</v>
      </c>
      <c r="AH209" s="463">
        <v>9.1999999999999993</v>
      </c>
      <c r="AI209" s="463">
        <v>0.9</v>
      </c>
    </row>
    <row r="210" spans="27:35" x14ac:dyDescent="0.25">
      <c r="AA210" s="463">
        <v>203</v>
      </c>
      <c r="AB210" s="463" t="s">
        <v>166</v>
      </c>
      <c r="AC210" s="463">
        <v>40</v>
      </c>
      <c r="AD210" s="463">
        <v>160</v>
      </c>
      <c r="AE210" s="463" t="s">
        <v>167</v>
      </c>
      <c r="AF210" s="463" t="s">
        <v>525</v>
      </c>
      <c r="AG210" s="463" t="s">
        <v>167</v>
      </c>
      <c r="AH210" s="463">
        <v>9.1999999999999993</v>
      </c>
      <c r="AI210" s="463">
        <v>0.9</v>
      </c>
    </row>
    <row r="211" spans="27:35" x14ac:dyDescent="0.25">
      <c r="AA211" s="463">
        <v>204</v>
      </c>
      <c r="AB211" s="463" t="s">
        <v>166</v>
      </c>
      <c r="AC211" s="463">
        <v>40</v>
      </c>
      <c r="AD211" s="463">
        <v>160</v>
      </c>
      <c r="AE211" s="463" t="s">
        <v>525</v>
      </c>
      <c r="AF211" s="463" t="s">
        <v>525</v>
      </c>
      <c r="AG211" s="463" t="s">
        <v>525</v>
      </c>
      <c r="AH211" s="463">
        <v>6.1</v>
      </c>
      <c r="AI211" s="463">
        <v>1.9</v>
      </c>
    </row>
    <row r="212" spans="27:35" x14ac:dyDescent="0.25">
      <c r="AA212" s="463">
        <v>205</v>
      </c>
      <c r="AB212" s="463" t="s">
        <v>166</v>
      </c>
      <c r="AC212" s="463">
        <v>65</v>
      </c>
      <c r="AD212" s="463">
        <v>140</v>
      </c>
      <c r="AE212" s="463" t="s">
        <v>525</v>
      </c>
      <c r="AF212" s="463" t="s">
        <v>167</v>
      </c>
      <c r="AG212" s="463" t="s">
        <v>167</v>
      </c>
      <c r="AH212" s="463">
        <v>6.1</v>
      </c>
      <c r="AI212" s="463">
        <v>1.9</v>
      </c>
    </row>
    <row r="213" spans="27:35" x14ac:dyDescent="0.25">
      <c r="AA213" s="463">
        <v>206</v>
      </c>
      <c r="AB213" s="463" t="s">
        <v>173</v>
      </c>
      <c r="AC213" s="463">
        <v>65</v>
      </c>
      <c r="AD213" s="463">
        <v>140</v>
      </c>
      <c r="AE213" s="463" t="s">
        <v>525</v>
      </c>
      <c r="AF213" s="463" t="s">
        <v>525</v>
      </c>
      <c r="AG213" s="463" t="s">
        <v>167</v>
      </c>
      <c r="AH213" s="463">
        <v>6.1</v>
      </c>
      <c r="AI213" s="463">
        <v>1.9</v>
      </c>
    </row>
    <row r="214" spans="27:35" x14ac:dyDescent="0.25">
      <c r="AA214" s="463">
        <v>207</v>
      </c>
      <c r="AB214" s="463" t="s">
        <v>166</v>
      </c>
      <c r="AC214" s="463">
        <v>40</v>
      </c>
      <c r="AD214" s="463">
        <v>160</v>
      </c>
      <c r="AE214" s="463" t="s">
        <v>525</v>
      </c>
      <c r="AF214" s="463" t="s">
        <v>167</v>
      </c>
      <c r="AG214" s="463" t="s">
        <v>525</v>
      </c>
      <c r="AH214" s="463">
        <v>6.1</v>
      </c>
      <c r="AI214" s="463">
        <v>1.9</v>
      </c>
    </row>
    <row r="215" spans="27:35" x14ac:dyDescent="0.25">
      <c r="AA215" s="463">
        <v>208</v>
      </c>
      <c r="AB215" s="463" t="s">
        <v>173</v>
      </c>
      <c r="AC215" s="463">
        <v>40</v>
      </c>
      <c r="AD215" s="463">
        <v>160</v>
      </c>
      <c r="AE215" s="463" t="s">
        <v>167</v>
      </c>
      <c r="AF215" s="463" t="s">
        <v>525</v>
      </c>
      <c r="AG215" s="463" t="s">
        <v>167</v>
      </c>
      <c r="AH215" s="463">
        <v>9.1999999999999993</v>
      </c>
      <c r="AI215" s="463">
        <v>1.9</v>
      </c>
    </row>
    <row r="216" spans="27:35" x14ac:dyDescent="0.25">
      <c r="AA216" s="463">
        <v>209</v>
      </c>
      <c r="AB216" s="463" t="s">
        <v>173</v>
      </c>
      <c r="AC216" s="463">
        <v>40</v>
      </c>
      <c r="AD216" s="463">
        <v>160</v>
      </c>
      <c r="AE216" s="463" t="s">
        <v>167</v>
      </c>
      <c r="AF216" s="463" t="s">
        <v>167</v>
      </c>
      <c r="AG216" s="463" t="s">
        <v>525</v>
      </c>
      <c r="AH216" s="463">
        <v>9.1999999999999993</v>
      </c>
      <c r="AI216" s="463">
        <v>1.9</v>
      </c>
    </row>
    <row r="217" spans="27:35" x14ac:dyDescent="0.25">
      <c r="AA217" s="463">
        <v>210</v>
      </c>
      <c r="AB217" s="463" t="s">
        <v>166</v>
      </c>
      <c r="AC217" s="463">
        <v>65</v>
      </c>
      <c r="AD217" s="463">
        <v>140</v>
      </c>
      <c r="AE217" s="463" t="s">
        <v>525</v>
      </c>
      <c r="AF217" s="463" t="s">
        <v>525</v>
      </c>
      <c r="AG217" s="463" t="s">
        <v>167</v>
      </c>
      <c r="AH217" s="463">
        <v>9.1999999999999993</v>
      </c>
      <c r="AI217" s="463">
        <v>0.9</v>
      </c>
    </row>
    <row r="218" spans="27:35" x14ac:dyDescent="0.25">
      <c r="AA218" s="463">
        <v>211</v>
      </c>
      <c r="AB218" s="463" t="s">
        <v>173</v>
      </c>
      <c r="AC218" s="463">
        <v>40</v>
      </c>
      <c r="AD218" s="463">
        <v>160</v>
      </c>
      <c r="AE218" s="463" t="s">
        <v>167</v>
      </c>
      <c r="AF218" s="463" t="s">
        <v>525</v>
      </c>
      <c r="AG218" s="463" t="s">
        <v>167</v>
      </c>
      <c r="AH218" s="463">
        <v>9.1999999999999993</v>
      </c>
      <c r="AI218" s="463">
        <v>0.9</v>
      </c>
    </row>
    <row r="219" spans="27:35" x14ac:dyDescent="0.25">
      <c r="AA219" s="463">
        <v>212</v>
      </c>
      <c r="AB219" s="463" t="s">
        <v>166</v>
      </c>
      <c r="AC219" s="463">
        <v>65</v>
      </c>
      <c r="AD219" s="463">
        <v>140</v>
      </c>
      <c r="AE219" s="463" t="s">
        <v>167</v>
      </c>
      <c r="AF219" s="463" t="s">
        <v>525</v>
      </c>
      <c r="AG219" s="463" t="s">
        <v>525</v>
      </c>
      <c r="AH219" s="463">
        <v>6.1</v>
      </c>
      <c r="AI219" s="463">
        <v>0.9</v>
      </c>
    </row>
    <row r="220" spans="27:35" x14ac:dyDescent="0.25">
      <c r="AA220" s="463">
        <v>213</v>
      </c>
      <c r="AB220" s="463" t="s">
        <v>173</v>
      </c>
      <c r="AC220" s="463">
        <v>65</v>
      </c>
      <c r="AD220" s="463">
        <v>160</v>
      </c>
      <c r="AE220" s="463" t="s">
        <v>167</v>
      </c>
      <c r="AF220" s="463" t="s">
        <v>167</v>
      </c>
      <c r="AG220" s="463" t="s">
        <v>167</v>
      </c>
      <c r="AH220" s="463">
        <v>9.1999999999999993</v>
      </c>
      <c r="AI220" s="463">
        <v>1.9</v>
      </c>
    </row>
    <row r="221" spans="27:35" x14ac:dyDescent="0.25">
      <c r="AA221" s="463">
        <v>214</v>
      </c>
      <c r="AB221" s="463" t="s">
        <v>166</v>
      </c>
      <c r="AC221" s="463">
        <v>40</v>
      </c>
      <c r="AD221" s="463">
        <v>140</v>
      </c>
      <c r="AE221" s="463" t="s">
        <v>167</v>
      </c>
      <c r="AF221" s="463" t="s">
        <v>525</v>
      </c>
      <c r="AG221" s="463" t="s">
        <v>167</v>
      </c>
      <c r="AH221" s="463">
        <v>6.1</v>
      </c>
      <c r="AI221" s="463">
        <v>0.9</v>
      </c>
    </row>
    <row r="222" spans="27:35" x14ac:dyDescent="0.25">
      <c r="AA222" s="463">
        <v>215</v>
      </c>
      <c r="AB222" s="463" t="s">
        <v>166</v>
      </c>
      <c r="AC222" s="463">
        <v>40</v>
      </c>
      <c r="AD222" s="463">
        <v>140</v>
      </c>
      <c r="AE222" s="463" t="s">
        <v>525</v>
      </c>
      <c r="AF222" s="463" t="s">
        <v>167</v>
      </c>
      <c r="AG222" s="463" t="s">
        <v>167</v>
      </c>
      <c r="AH222" s="463">
        <v>9.1999999999999993</v>
      </c>
      <c r="AI222" s="463">
        <v>0.9</v>
      </c>
    </row>
    <row r="223" spans="27:35" x14ac:dyDescent="0.25">
      <c r="AA223" s="463">
        <v>216</v>
      </c>
      <c r="AB223" s="463" t="s">
        <v>173</v>
      </c>
      <c r="AC223" s="463">
        <v>65</v>
      </c>
      <c r="AD223" s="463">
        <v>140</v>
      </c>
      <c r="AE223" s="463" t="s">
        <v>525</v>
      </c>
      <c r="AF223" s="463" t="s">
        <v>167</v>
      </c>
      <c r="AG223" s="463" t="s">
        <v>167</v>
      </c>
      <c r="AH223" s="463">
        <v>9.1999999999999993</v>
      </c>
      <c r="AI223" s="463">
        <v>0.9</v>
      </c>
    </row>
    <row r="224" spans="27:35" x14ac:dyDescent="0.25">
      <c r="AA224" s="463">
        <v>217</v>
      </c>
      <c r="AB224" s="463" t="s">
        <v>173</v>
      </c>
      <c r="AC224" s="463">
        <v>40</v>
      </c>
      <c r="AD224" s="463">
        <v>160</v>
      </c>
      <c r="AE224" s="463" t="s">
        <v>167</v>
      </c>
      <c r="AF224" s="463" t="s">
        <v>525</v>
      </c>
      <c r="AG224" s="463" t="s">
        <v>525</v>
      </c>
      <c r="AH224" s="463">
        <v>9.1999999999999993</v>
      </c>
      <c r="AI224" s="463">
        <v>1.9</v>
      </c>
    </row>
    <row r="225" spans="27:35" x14ac:dyDescent="0.25">
      <c r="AA225" s="463">
        <v>218</v>
      </c>
      <c r="AB225" s="463" t="s">
        <v>166</v>
      </c>
      <c r="AC225" s="463">
        <v>40</v>
      </c>
      <c r="AD225" s="463">
        <v>140</v>
      </c>
      <c r="AE225" s="463" t="s">
        <v>167</v>
      </c>
      <c r="AF225" s="463" t="s">
        <v>525</v>
      </c>
      <c r="AG225" s="463" t="s">
        <v>167</v>
      </c>
      <c r="AH225" s="463">
        <v>9.1999999999999993</v>
      </c>
      <c r="AI225" s="463">
        <v>1.9</v>
      </c>
    </row>
    <row r="226" spans="27:35" x14ac:dyDescent="0.25">
      <c r="AA226" s="463">
        <v>219</v>
      </c>
      <c r="AB226" s="463" t="s">
        <v>173</v>
      </c>
      <c r="AC226" s="463">
        <v>40</v>
      </c>
      <c r="AD226" s="463">
        <v>160</v>
      </c>
      <c r="AE226" s="463" t="s">
        <v>167</v>
      </c>
      <c r="AF226" s="463" t="s">
        <v>525</v>
      </c>
      <c r="AG226" s="463" t="s">
        <v>525</v>
      </c>
      <c r="AH226" s="463">
        <v>6.1</v>
      </c>
      <c r="AI226" s="463">
        <v>0.9</v>
      </c>
    </row>
    <row r="227" spans="27:35" x14ac:dyDescent="0.25">
      <c r="AA227" s="463">
        <v>220</v>
      </c>
      <c r="AB227" s="463" t="s">
        <v>166</v>
      </c>
      <c r="AC227" s="463">
        <v>40</v>
      </c>
      <c r="AD227" s="463">
        <v>140</v>
      </c>
      <c r="AE227" s="463" t="s">
        <v>525</v>
      </c>
      <c r="AF227" s="463" t="s">
        <v>525</v>
      </c>
      <c r="AG227" s="463" t="s">
        <v>525</v>
      </c>
      <c r="AH227" s="463">
        <v>6.1</v>
      </c>
      <c r="AI227" s="463">
        <v>0.9</v>
      </c>
    </row>
    <row r="228" spans="27:35" x14ac:dyDescent="0.25">
      <c r="AA228" s="463">
        <v>221</v>
      </c>
      <c r="AB228" s="463" t="s">
        <v>173</v>
      </c>
      <c r="AC228" s="463">
        <v>65</v>
      </c>
      <c r="AD228" s="463">
        <v>160</v>
      </c>
      <c r="AE228" s="463" t="s">
        <v>167</v>
      </c>
      <c r="AF228" s="463" t="s">
        <v>525</v>
      </c>
      <c r="AG228" s="463" t="s">
        <v>167</v>
      </c>
      <c r="AH228" s="463">
        <v>9.1999999999999993</v>
      </c>
      <c r="AI228" s="463">
        <v>1.9</v>
      </c>
    </row>
    <row r="229" spans="27:35" x14ac:dyDescent="0.25">
      <c r="AA229" s="463">
        <v>222</v>
      </c>
      <c r="AB229" s="463" t="s">
        <v>166</v>
      </c>
      <c r="AC229" s="463">
        <v>40</v>
      </c>
      <c r="AD229" s="463">
        <v>140</v>
      </c>
      <c r="AE229" s="463" t="s">
        <v>525</v>
      </c>
      <c r="AF229" s="463" t="s">
        <v>525</v>
      </c>
      <c r="AG229" s="463" t="s">
        <v>525</v>
      </c>
      <c r="AH229" s="463">
        <v>6.1</v>
      </c>
      <c r="AI229" s="463">
        <v>1.9</v>
      </c>
    </row>
    <row r="230" spans="27:35" x14ac:dyDescent="0.25">
      <c r="AA230" s="463">
        <v>223</v>
      </c>
      <c r="AB230" s="463" t="s">
        <v>173</v>
      </c>
      <c r="AC230" s="463">
        <v>65</v>
      </c>
      <c r="AD230" s="463">
        <v>140</v>
      </c>
      <c r="AE230" s="463" t="s">
        <v>167</v>
      </c>
      <c r="AF230" s="463" t="s">
        <v>525</v>
      </c>
      <c r="AG230" s="463" t="s">
        <v>167</v>
      </c>
      <c r="AH230" s="463">
        <v>9.1999999999999993</v>
      </c>
      <c r="AI230" s="463">
        <v>1.9</v>
      </c>
    </row>
    <row r="231" spans="27:35" x14ac:dyDescent="0.25">
      <c r="AA231" s="463">
        <v>224</v>
      </c>
      <c r="AB231" s="463" t="s">
        <v>166</v>
      </c>
      <c r="AC231" s="463">
        <v>65</v>
      </c>
      <c r="AD231" s="463">
        <v>160</v>
      </c>
      <c r="AE231" s="463" t="s">
        <v>525</v>
      </c>
      <c r="AF231" s="463" t="s">
        <v>525</v>
      </c>
      <c r="AG231" s="463" t="s">
        <v>525</v>
      </c>
      <c r="AH231" s="463">
        <v>9.1999999999999993</v>
      </c>
      <c r="AI231" s="463">
        <v>0.9</v>
      </c>
    </row>
    <row r="232" spans="27:35" x14ac:dyDescent="0.25">
      <c r="AA232" s="463">
        <v>225</v>
      </c>
      <c r="AB232" s="463" t="s">
        <v>173</v>
      </c>
      <c r="AC232" s="463">
        <v>65</v>
      </c>
      <c r="AD232" s="463">
        <v>140</v>
      </c>
      <c r="AE232" s="463" t="s">
        <v>167</v>
      </c>
      <c r="AF232" s="463" t="s">
        <v>525</v>
      </c>
      <c r="AG232" s="463" t="s">
        <v>167</v>
      </c>
      <c r="AH232" s="463">
        <v>6.1</v>
      </c>
      <c r="AI232" s="463">
        <v>0.9</v>
      </c>
    </row>
    <row r="233" spans="27:35" x14ac:dyDescent="0.25">
      <c r="AA233" s="463">
        <v>226</v>
      </c>
      <c r="AB233" s="463" t="s">
        <v>173</v>
      </c>
      <c r="AC233" s="463">
        <v>65</v>
      </c>
      <c r="AD233" s="463">
        <v>160</v>
      </c>
      <c r="AE233" s="463" t="s">
        <v>525</v>
      </c>
      <c r="AF233" s="463" t="s">
        <v>167</v>
      </c>
      <c r="AG233" s="463" t="s">
        <v>167</v>
      </c>
      <c r="AH233" s="463">
        <v>9.1999999999999993</v>
      </c>
      <c r="AI233" s="463">
        <v>1.9</v>
      </c>
    </row>
    <row r="234" spans="27:35" x14ac:dyDescent="0.25">
      <c r="AA234" s="463">
        <v>227</v>
      </c>
      <c r="AB234" s="463" t="s">
        <v>166</v>
      </c>
      <c r="AC234" s="463">
        <v>65</v>
      </c>
      <c r="AD234" s="463">
        <v>160</v>
      </c>
      <c r="AE234" s="463" t="s">
        <v>525</v>
      </c>
      <c r="AF234" s="463" t="s">
        <v>167</v>
      </c>
      <c r="AG234" s="463" t="s">
        <v>167</v>
      </c>
      <c r="AH234" s="463">
        <v>9.1999999999999993</v>
      </c>
      <c r="AI234" s="463">
        <v>0.9</v>
      </c>
    </row>
    <row r="235" spans="27:35" x14ac:dyDescent="0.25">
      <c r="AA235" s="463">
        <v>228</v>
      </c>
      <c r="AB235" s="463" t="s">
        <v>173</v>
      </c>
      <c r="AC235" s="463">
        <v>65</v>
      </c>
      <c r="AD235" s="463">
        <v>140</v>
      </c>
      <c r="AE235" s="463" t="s">
        <v>167</v>
      </c>
      <c r="AF235" s="463" t="s">
        <v>525</v>
      </c>
      <c r="AG235" s="463" t="s">
        <v>525</v>
      </c>
      <c r="AH235" s="463">
        <v>6.1</v>
      </c>
      <c r="AI235" s="463">
        <v>1.9</v>
      </c>
    </row>
    <row r="236" spans="27:35" x14ac:dyDescent="0.25">
      <c r="AA236" s="463">
        <v>229</v>
      </c>
      <c r="AB236" s="463" t="s">
        <v>173</v>
      </c>
      <c r="AC236" s="463">
        <v>65</v>
      </c>
      <c r="AD236" s="463">
        <v>160</v>
      </c>
      <c r="AE236" s="463" t="s">
        <v>525</v>
      </c>
      <c r="AF236" s="463" t="s">
        <v>525</v>
      </c>
      <c r="AG236" s="463" t="s">
        <v>525</v>
      </c>
      <c r="AH236" s="463">
        <v>9.1999999999999993</v>
      </c>
      <c r="AI236" s="463">
        <v>1.9</v>
      </c>
    </row>
    <row r="237" spans="27:35" x14ac:dyDescent="0.25">
      <c r="AA237" s="463">
        <v>230</v>
      </c>
      <c r="AB237" s="463" t="s">
        <v>166</v>
      </c>
      <c r="AC237" s="463">
        <v>40</v>
      </c>
      <c r="AD237" s="463">
        <v>160</v>
      </c>
      <c r="AE237" s="463" t="s">
        <v>167</v>
      </c>
      <c r="AF237" s="463" t="s">
        <v>167</v>
      </c>
      <c r="AG237" s="463" t="s">
        <v>167</v>
      </c>
      <c r="AH237" s="463">
        <v>6.1</v>
      </c>
      <c r="AI237" s="463">
        <v>0.9</v>
      </c>
    </row>
    <row r="238" spans="27:35" x14ac:dyDescent="0.25">
      <c r="AA238" s="463">
        <v>231</v>
      </c>
      <c r="AB238" s="463" t="s">
        <v>173</v>
      </c>
      <c r="AC238" s="463">
        <v>40</v>
      </c>
      <c r="AD238" s="463">
        <v>160</v>
      </c>
      <c r="AE238" s="463" t="s">
        <v>525</v>
      </c>
      <c r="AF238" s="463" t="s">
        <v>167</v>
      </c>
      <c r="AG238" s="463" t="s">
        <v>525</v>
      </c>
      <c r="AH238" s="463">
        <v>6.1</v>
      </c>
      <c r="AI238" s="463">
        <v>1.9</v>
      </c>
    </row>
    <row r="239" spans="27:35" x14ac:dyDescent="0.25">
      <c r="AA239" s="463">
        <v>232</v>
      </c>
      <c r="AB239" s="463" t="s">
        <v>173</v>
      </c>
      <c r="AC239" s="463">
        <v>65</v>
      </c>
      <c r="AD239" s="463">
        <v>160</v>
      </c>
      <c r="AE239" s="463" t="s">
        <v>167</v>
      </c>
      <c r="AF239" s="463" t="s">
        <v>525</v>
      </c>
      <c r="AG239" s="463" t="s">
        <v>167</v>
      </c>
      <c r="AH239" s="463">
        <v>9.1999999999999993</v>
      </c>
      <c r="AI239" s="463">
        <v>0.9</v>
      </c>
    </row>
    <row r="240" spans="27:35" x14ac:dyDescent="0.25">
      <c r="AA240" s="463">
        <v>233</v>
      </c>
      <c r="AB240" s="463" t="s">
        <v>173</v>
      </c>
      <c r="AC240" s="463">
        <v>40</v>
      </c>
      <c r="AD240" s="463">
        <v>140</v>
      </c>
      <c r="AE240" s="463" t="s">
        <v>525</v>
      </c>
      <c r="AF240" s="463" t="s">
        <v>167</v>
      </c>
      <c r="AG240" s="463" t="s">
        <v>525</v>
      </c>
      <c r="AH240" s="463">
        <v>9.1999999999999993</v>
      </c>
      <c r="AI240" s="463">
        <v>1.9</v>
      </c>
    </row>
    <row r="241" spans="27:35" x14ac:dyDescent="0.25">
      <c r="AA241" s="463">
        <v>234</v>
      </c>
      <c r="AB241" s="463" t="s">
        <v>166</v>
      </c>
      <c r="AC241" s="463">
        <v>40</v>
      </c>
      <c r="AD241" s="463">
        <v>140</v>
      </c>
      <c r="AE241" s="463" t="s">
        <v>525</v>
      </c>
      <c r="AF241" s="463" t="s">
        <v>167</v>
      </c>
      <c r="AG241" s="463" t="s">
        <v>525</v>
      </c>
      <c r="AH241" s="463">
        <v>6.1</v>
      </c>
      <c r="AI241" s="463">
        <v>0.9</v>
      </c>
    </row>
    <row r="242" spans="27:35" x14ac:dyDescent="0.25">
      <c r="AA242" s="463">
        <v>235</v>
      </c>
      <c r="AB242" s="463" t="s">
        <v>173</v>
      </c>
      <c r="AC242" s="463">
        <v>40</v>
      </c>
      <c r="AD242" s="463">
        <v>160</v>
      </c>
      <c r="AE242" s="463" t="s">
        <v>167</v>
      </c>
      <c r="AF242" s="463" t="s">
        <v>167</v>
      </c>
      <c r="AG242" s="463" t="s">
        <v>167</v>
      </c>
      <c r="AH242" s="463">
        <v>9.1999999999999993</v>
      </c>
      <c r="AI242" s="463">
        <v>1.9</v>
      </c>
    </row>
    <row r="243" spans="27:35" x14ac:dyDescent="0.25">
      <c r="AA243" s="463">
        <v>236</v>
      </c>
      <c r="AB243" s="463" t="s">
        <v>173</v>
      </c>
      <c r="AC243" s="463">
        <v>40</v>
      </c>
      <c r="AD243" s="463">
        <v>140</v>
      </c>
      <c r="AE243" s="463" t="s">
        <v>167</v>
      </c>
      <c r="AF243" s="463" t="s">
        <v>167</v>
      </c>
      <c r="AG243" s="463" t="s">
        <v>525</v>
      </c>
      <c r="AH243" s="463">
        <v>6.1</v>
      </c>
      <c r="AI243" s="463">
        <v>1.9</v>
      </c>
    </row>
    <row r="244" spans="27:35" x14ac:dyDescent="0.25">
      <c r="AA244" s="463">
        <v>237</v>
      </c>
      <c r="AB244" s="463" t="s">
        <v>173</v>
      </c>
      <c r="AC244" s="463">
        <v>65</v>
      </c>
      <c r="AD244" s="463">
        <v>140</v>
      </c>
      <c r="AE244" s="463" t="s">
        <v>525</v>
      </c>
      <c r="AF244" s="463" t="s">
        <v>525</v>
      </c>
      <c r="AG244" s="463" t="s">
        <v>525</v>
      </c>
      <c r="AH244" s="463">
        <v>6.1</v>
      </c>
      <c r="AI244" s="463">
        <v>1.9</v>
      </c>
    </row>
    <row r="245" spans="27:35" x14ac:dyDescent="0.25">
      <c r="AA245" s="463">
        <v>238</v>
      </c>
      <c r="AB245" s="463" t="s">
        <v>166</v>
      </c>
      <c r="AC245" s="463">
        <v>65</v>
      </c>
      <c r="AD245" s="463">
        <v>160</v>
      </c>
      <c r="AE245" s="463" t="s">
        <v>525</v>
      </c>
      <c r="AF245" s="463" t="s">
        <v>167</v>
      </c>
      <c r="AG245" s="463" t="s">
        <v>167</v>
      </c>
      <c r="AH245" s="463">
        <v>6.1</v>
      </c>
      <c r="AI245" s="463">
        <v>1.9</v>
      </c>
    </row>
    <row r="246" spans="27:35" x14ac:dyDescent="0.25">
      <c r="AA246" s="463">
        <v>239</v>
      </c>
      <c r="AB246" s="463" t="s">
        <v>173</v>
      </c>
      <c r="AC246" s="463">
        <v>65</v>
      </c>
      <c r="AD246" s="463">
        <v>160</v>
      </c>
      <c r="AE246" s="463" t="s">
        <v>167</v>
      </c>
      <c r="AF246" s="463" t="s">
        <v>525</v>
      </c>
      <c r="AG246" s="463" t="s">
        <v>525</v>
      </c>
      <c r="AH246" s="463">
        <v>9.1999999999999993</v>
      </c>
      <c r="AI246" s="463">
        <v>0.9</v>
      </c>
    </row>
    <row r="247" spans="27:35" x14ac:dyDescent="0.25">
      <c r="AA247" s="463">
        <v>240</v>
      </c>
      <c r="AB247" s="463" t="s">
        <v>166</v>
      </c>
      <c r="AC247" s="463">
        <v>40</v>
      </c>
      <c r="AD247" s="463">
        <v>140</v>
      </c>
      <c r="AE247" s="463" t="s">
        <v>525</v>
      </c>
      <c r="AF247" s="463" t="s">
        <v>525</v>
      </c>
      <c r="AG247" s="463" t="s">
        <v>167</v>
      </c>
      <c r="AH247" s="463">
        <v>6.1</v>
      </c>
      <c r="AI247" s="463">
        <v>1.9</v>
      </c>
    </row>
    <row r="248" spans="27:35" x14ac:dyDescent="0.25">
      <c r="AA248" s="463">
        <v>241</v>
      </c>
      <c r="AB248" s="463" t="s">
        <v>173</v>
      </c>
      <c r="AC248" s="463">
        <v>40</v>
      </c>
      <c r="AD248" s="463">
        <v>160</v>
      </c>
      <c r="AE248" s="463" t="s">
        <v>525</v>
      </c>
      <c r="AF248" s="463" t="s">
        <v>525</v>
      </c>
      <c r="AG248" s="463" t="s">
        <v>167</v>
      </c>
      <c r="AH248" s="463">
        <v>9.1999999999999993</v>
      </c>
      <c r="AI248" s="463">
        <v>1.9</v>
      </c>
    </row>
    <row r="249" spans="27:35" x14ac:dyDescent="0.25">
      <c r="AA249" s="463">
        <v>242</v>
      </c>
      <c r="AB249" s="463" t="s">
        <v>173</v>
      </c>
      <c r="AC249" s="463">
        <v>40</v>
      </c>
      <c r="AD249" s="463">
        <v>140</v>
      </c>
      <c r="AE249" s="463" t="s">
        <v>525</v>
      </c>
      <c r="AF249" s="463" t="s">
        <v>525</v>
      </c>
      <c r="AG249" s="463" t="s">
        <v>167</v>
      </c>
      <c r="AH249" s="463">
        <v>9.1999999999999993</v>
      </c>
      <c r="AI249" s="463">
        <v>1.9</v>
      </c>
    </row>
    <row r="250" spans="27:35" x14ac:dyDescent="0.25">
      <c r="AA250" s="463">
        <v>243</v>
      </c>
      <c r="AB250" s="463" t="s">
        <v>173</v>
      </c>
      <c r="AC250" s="463">
        <v>40</v>
      </c>
      <c r="AD250" s="463">
        <v>140</v>
      </c>
      <c r="AE250" s="463" t="s">
        <v>167</v>
      </c>
      <c r="AF250" s="463" t="s">
        <v>167</v>
      </c>
      <c r="AG250" s="463" t="s">
        <v>525</v>
      </c>
      <c r="AH250" s="463">
        <v>6.1</v>
      </c>
      <c r="AI250" s="463">
        <v>0.9</v>
      </c>
    </row>
    <row r="251" spans="27:35" x14ac:dyDescent="0.25">
      <c r="AA251" s="463">
        <v>244</v>
      </c>
      <c r="AB251" s="463" t="s">
        <v>166</v>
      </c>
      <c r="AC251" s="463">
        <v>65</v>
      </c>
      <c r="AD251" s="463">
        <v>160</v>
      </c>
      <c r="AE251" s="463" t="s">
        <v>525</v>
      </c>
      <c r="AF251" s="463" t="s">
        <v>167</v>
      </c>
      <c r="AG251" s="463" t="s">
        <v>167</v>
      </c>
      <c r="AH251" s="463">
        <v>9.1999999999999993</v>
      </c>
      <c r="AI251" s="463">
        <v>1.9</v>
      </c>
    </row>
    <row r="252" spans="27:35" x14ac:dyDescent="0.25">
      <c r="AA252" s="463">
        <v>245</v>
      </c>
      <c r="AB252" s="463" t="s">
        <v>166</v>
      </c>
      <c r="AC252" s="463">
        <v>40</v>
      </c>
      <c r="AD252" s="463">
        <v>140</v>
      </c>
      <c r="AE252" s="463" t="s">
        <v>525</v>
      </c>
      <c r="AF252" s="463" t="s">
        <v>167</v>
      </c>
      <c r="AG252" s="463" t="s">
        <v>167</v>
      </c>
      <c r="AH252" s="463">
        <v>6.1</v>
      </c>
      <c r="AI252" s="463">
        <v>0.9</v>
      </c>
    </row>
    <row r="253" spans="27:35" x14ac:dyDescent="0.25">
      <c r="AA253" s="463">
        <v>245</v>
      </c>
      <c r="AB253" s="463" t="s">
        <v>166</v>
      </c>
      <c r="AC253" s="463">
        <v>65</v>
      </c>
      <c r="AD253" s="463">
        <v>160</v>
      </c>
      <c r="AE253" s="463" t="s">
        <v>525</v>
      </c>
      <c r="AF253" s="463" t="s">
        <v>167</v>
      </c>
      <c r="AG253" s="463" t="s">
        <v>525</v>
      </c>
      <c r="AH253" s="463">
        <v>9.1999999999999993</v>
      </c>
      <c r="AI253" s="463">
        <v>0.9</v>
      </c>
    </row>
  </sheetData>
  <mergeCells count="19">
    <mergeCell ref="I4:J4"/>
    <mergeCell ref="D8:E8"/>
    <mergeCell ref="D6:E6"/>
    <mergeCell ref="G6:H6"/>
    <mergeCell ref="G7:H7"/>
    <mergeCell ref="R2:S2"/>
    <mergeCell ref="R9:S9"/>
    <mergeCell ref="L4:M4"/>
    <mergeCell ref="L5:M5"/>
    <mergeCell ref="O2:P2"/>
    <mergeCell ref="L6:M6"/>
    <mergeCell ref="D51:E51"/>
    <mergeCell ref="D50:E50"/>
    <mergeCell ref="G35:G37"/>
    <mergeCell ref="D2:E2"/>
    <mergeCell ref="G2:H2"/>
    <mergeCell ref="G4:H4"/>
    <mergeCell ref="D5:E5"/>
    <mergeCell ref="D4:E4"/>
  </mergeCells>
  <hyperlinks>
    <hyperlink ref="L53" r:id="rId1" xr:uid="{2C4A0CE9-8AAB-482A-B7D5-78B6D9AD5202}"/>
    <hyperlink ref="G2" r:id="rId2" xr:uid="{F3DE4099-BDE0-45D7-A184-E78D0E25988B}"/>
  </hyperlinks>
  <pageMargins left="0.70866141732283472" right="0.70866141732283472" top="0.78740157480314965" bottom="0.78740157480314965" header="0.31496062992125984" footer="0.31496062992125984"/>
  <pageSetup paperSize="9" orientation="portrait" r:id="rId3"/>
  <ignoredErrors>
    <ignoredError sqref="H10" formula="1"/>
  </ignoredErrors>
  <drawing r:id="rId4"/>
  <legacyDrawing r:id="rId5"/>
  <extLst>
    <ext xmlns:x14="http://schemas.microsoft.com/office/spreadsheetml/2009/9/main" uri="{78C0D931-6437-407d-A8EE-F0AAD7539E65}">
      <x14:conditionalFormattings>
        <x14:conditionalFormatting xmlns:xm="http://schemas.microsoft.com/office/excel/2006/main">
          <x14:cfRule type="iconSet" priority="51" id="{F4B6BD5B-7170-43A6-8280-79DBA01F130A}">
            <x14:iconSet iconSet="3Symbols" custom="1">
              <x14:cfvo type="percent">
                <xm:f>0</xm:f>
              </x14:cfvo>
              <x14:cfvo type="num">
                <xm:f>50</xm:f>
              </x14:cfvo>
              <x14:cfvo type="num">
                <xm:f>100</xm:f>
              </x14:cfvo>
              <x14:cfIcon iconSet="3Symbols" iconId="2"/>
              <x14:cfIcon iconSet="3Symbols" iconId="1"/>
              <x14:cfIcon iconSet="3Symbols" iconId="0"/>
            </x14:iconSet>
          </x14:cfRule>
          <xm:sqref>O11</xm:sqref>
        </x14:conditionalFormatting>
        <x14:conditionalFormatting xmlns:xm="http://schemas.microsoft.com/office/excel/2006/main">
          <x14:cfRule type="iconSet" priority="49" id="{F2C942C6-677F-490F-90B8-71B61DC8090E}">
            <x14:iconSet iconSet="3Symbols" custom="1">
              <x14:cfvo type="percent">
                <xm:f>0</xm:f>
              </x14:cfvo>
              <x14:cfvo type="num">
                <xm:f>10</xm:f>
              </x14:cfvo>
              <x14:cfvo type="num">
                <xm:f>20</xm:f>
              </x14:cfvo>
              <x14:cfIcon iconSet="3Symbols" iconId="2"/>
              <x14:cfIcon iconSet="3Symbols" iconId="1"/>
              <x14:cfIcon iconSet="3Symbols" iconId="0"/>
            </x14:iconSet>
          </x14:cfRule>
          <xm:sqref>O5</xm:sqref>
        </x14:conditionalFormatting>
        <x14:conditionalFormatting xmlns:xm="http://schemas.microsoft.com/office/excel/2006/main">
          <x14:cfRule type="iconSet" priority="47" id="{DF059E1C-84F4-42DF-9F2C-E97CA25B4E63}">
            <x14:iconSet iconSet="3Symbols" custom="1">
              <x14:cfvo type="percent">
                <xm:f>0</xm:f>
              </x14:cfvo>
              <x14:cfvo type="num">
                <xm:f>25</xm:f>
              </x14:cfvo>
              <x14:cfvo type="num">
                <xm:f>30</xm:f>
              </x14:cfvo>
              <x14:cfIcon iconSet="3Symbols" iconId="2"/>
              <x14:cfIcon iconSet="3Symbols" iconId="1"/>
              <x14:cfIcon iconSet="3Symbols" iconId="0"/>
            </x14:iconSet>
          </x14:cfRule>
          <xm:sqref>O19</xm:sqref>
        </x14:conditionalFormatting>
        <x14:conditionalFormatting xmlns:xm="http://schemas.microsoft.com/office/excel/2006/main">
          <x14:cfRule type="iconSet" priority="46" id="{0B3B4408-FC41-454C-B4A2-0F3543B521E2}">
            <x14:iconSet iconSet="3Symbols" custom="1">
              <x14:cfvo type="percent">
                <xm:f>0</xm:f>
              </x14:cfvo>
              <x14:cfvo type="num">
                <xm:f>50</xm:f>
              </x14:cfvo>
              <x14:cfvo type="num">
                <xm:f>90</xm:f>
              </x14:cfvo>
              <x14:cfIcon iconSet="3Symbols" iconId="0"/>
              <x14:cfIcon iconSet="3Symbols" iconId="1"/>
              <x14:cfIcon iconSet="3Symbols" iconId="2"/>
            </x14:iconSet>
          </x14:cfRule>
          <xm:sqref>O18</xm:sqref>
        </x14:conditionalFormatting>
        <x14:conditionalFormatting xmlns:xm="http://schemas.microsoft.com/office/excel/2006/main">
          <x14:cfRule type="iconSet" priority="45" id="{5E10EDFD-2801-4B29-9196-822561E9BF50}">
            <x14:iconSet iconSet="3Symbols" custom="1">
              <x14:cfvo type="percent">
                <xm:f>0</xm:f>
              </x14:cfvo>
              <x14:cfvo type="num">
                <xm:f>10</xm:f>
              </x14:cfvo>
              <x14:cfvo type="num">
                <xm:f>20</xm:f>
              </x14:cfvo>
              <x14:cfIcon iconSet="3Symbols" iconId="2"/>
              <x14:cfIcon iconSet="3Symbols" iconId="1"/>
              <x14:cfIcon iconSet="3Symbols" iconId="0"/>
            </x14:iconSet>
          </x14:cfRule>
          <xm:sqref>O6</xm:sqref>
        </x14:conditionalFormatting>
        <x14:conditionalFormatting xmlns:xm="http://schemas.microsoft.com/office/excel/2006/main">
          <x14:cfRule type="iconSet" priority="44" id="{BD0648D0-C81C-45FB-B0A7-8D1CABFB33E6}">
            <x14:iconSet iconSet="3Symbols" custom="1">
              <x14:cfvo type="percent">
                <xm:f>0</xm:f>
              </x14:cfvo>
              <x14:cfvo type="num">
                <xm:f>1</xm:f>
              </x14:cfvo>
              <x14:cfvo type="num">
                <xm:f>5</xm:f>
              </x14:cfvo>
              <x14:cfIcon iconSet="3Symbols" iconId="2"/>
              <x14:cfIcon iconSet="3Symbols" iconId="1"/>
              <x14:cfIcon iconSet="3Symbols" iconId="0"/>
            </x14:iconSet>
          </x14:cfRule>
          <xm:sqref>R5</xm:sqref>
        </x14:conditionalFormatting>
        <x14:conditionalFormatting xmlns:xm="http://schemas.microsoft.com/office/excel/2006/main">
          <x14:cfRule type="iconSet" priority="42" id="{27D05C47-50DA-4742-B718-BF6022DC5466}">
            <x14:iconSet iconSet="3Symbols" custom="1">
              <x14:cfvo type="percent">
                <xm:f>0</xm:f>
              </x14:cfvo>
              <x14:cfvo type="num">
                <xm:f>25</xm:f>
              </x14:cfvo>
              <x14:cfvo type="num">
                <xm:f>30</xm:f>
              </x14:cfvo>
              <x14:cfIcon iconSet="3Symbols" iconId="2"/>
              <x14:cfIcon iconSet="3Symbols" iconId="1"/>
              <x14:cfIcon iconSet="3Symbols" iconId="0"/>
            </x14:iconSet>
          </x14:cfRule>
          <xm:sqref>L20</xm:sqref>
        </x14:conditionalFormatting>
        <x14:conditionalFormatting xmlns:xm="http://schemas.microsoft.com/office/excel/2006/main">
          <x14:cfRule type="iconSet" priority="52" id="{00F4D0BD-8EF8-4C3C-BF86-709F804EC6CF}">
            <x14:iconSet iconSet="3Symbols" custom="1">
              <x14:cfvo type="percent">
                <xm:f>0</xm:f>
              </x14:cfvo>
              <x14:cfvo type="num">
                <xm:f>75</xm:f>
              </x14:cfvo>
              <x14:cfvo type="num">
                <xm:f>100</xm:f>
              </x14:cfvo>
              <x14:cfIcon iconSet="3Symbols" iconId="2"/>
              <x14:cfIcon iconSet="3Symbols" iconId="1"/>
              <x14:cfIcon iconSet="3Symbols" iconId="0"/>
            </x14:iconSet>
          </x14:cfRule>
          <xm:sqref>O17 O12:O13</xm:sqref>
        </x14:conditionalFormatting>
        <x14:conditionalFormatting xmlns:xm="http://schemas.microsoft.com/office/excel/2006/main">
          <x14:cfRule type="iconSet" priority="37" id="{9F72E2B0-BDF6-4C0C-89E4-3194C605BF57}">
            <x14:iconSet iconSet="3Symbols" custom="1">
              <x14:cfvo type="percent">
                <xm:f>0</xm:f>
              </x14:cfvo>
              <x14:cfvo type="num">
                <xm:f>10</xm:f>
              </x14:cfvo>
              <x14:cfvo type="num">
                <xm:f>20</xm:f>
              </x14:cfvo>
              <x14:cfIcon iconSet="3Symbols" iconId="2"/>
              <x14:cfIcon iconSet="3Symbols" iconId="1"/>
              <x14:cfIcon iconSet="3Symbols" iconId="0"/>
            </x14:iconSet>
          </x14:cfRule>
          <xm:sqref>O15:O16</xm:sqref>
        </x14:conditionalFormatting>
        <x14:conditionalFormatting xmlns:xm="http://schemas.microsoft.com/office/excel/2006/main">
          <x14:cfRule type="iconSet" priority="36" id="{7BB8BA4D-1A06-4B29-9E11-50098C23E281}">
            <x14:iconSet iconSet="3Symbols" custom="1">
              <x14:cfvo type="percent">
                <xm:f>0</xm:f>
              </x14:cfvo>
              <x14:cfvo type="num">
                <xm:f>10</xm:f>
              </x14:cfvo>
              <x14:cfvo type="num">
                <xm:f>20</xm:f>
              </x14:cfvo>
              <x14:cfIcon iconSet="3Symbols" iconId="2"/>
              <x14:cfIcon iconSet="3Symbols" iconId="1"/>
              <x14:cfIcon iconSet="3Symbols" iconId="0"/>
            </x14:iconSet>
          </x14:cfRule>
          <xm:sqref>P15</xm:sqref>
        </x14:conditionalFormatting>
        <x14:conditionalFormatting xmlns:xm="http://schemas.microsoft.com/office/excel/2006/main">
          <x14:cfRule type="iconSet" priority="35" id="{3F31B3BF-F050-4214-9A97-3986BAD95EC7}">
            <x14:iconSet iconSet="3Symbols" custom="1">
              <x14:cfvo type="percent">
                <xm:f>0</xm:f>
              </x14:cfvo>
              <x14:cfvo type="num">
                <xm:f>10</xm:f>
              </x14:cfvo>
              <x14:cfvo type="num">
                <xm:f>20</xm:f>
              </x14:cfvo>
              <x14:cfIcon iconSet="3Symbols" iconId="2"/>
              <x14:cfIcon iconSet="3Symbols" iconId="1"/>
              <x14:cfIcon iconSet="3Symbols" iconId="0"/>
            </x14:iconSet>
          </x14:cfRule>
          <xm:sqref>P16</xm:sqref>
        </x14:conditionalFormatting>
        <x14:conditionalFormatting xmlns:xm="http://schemas.microsoft.com/office/excel/2006/main">
          <x14:cfRule type="iconSet" priority="34" id="{48F9C21A-9552-4362-B9F7-E5C9C87F0239}">
            <x14:iconSet iconSet="3Symbols" custom="1">
              <x14:cfvo type="percent">
                <xm:f>0</xm:f>
              </x14:cfvo>
              <x14:cfvo type="num">
                <xm:f>10</xm:f>
              </x14:cfvo>
              <x14:cfvo type="num">
                <xm:f>20</xm:f>
              </x14:cfvo>
              <x14:cfIcon iconSet="3Symbols" iconId="2"/>
              <x14:cfIcon iconSet="3Symbols" iconId="1"/>
              <x14:cfIcon iconSet="3Symbols" iconId="0"/>
            </x14:iconSet>
          </x14:cfRule>
          <xm:sqref>P12:P13</xm:sqref>
        </x14:conditionalFormatting>
        <x14:conditionalFormatting xmlns:xm="http://schemas.microsoft.com/office/excel/2006/main">
          <x14:cfRule type="iconSet" priority="33" id="{F4516F67-A480-4993-B52B-C2C2276A79C9}">
            <x14:iconSet iconSet="3Symbols" custom="1">
              <x14:cfvo type="percent">
                <xm:f>0</xm:f>
              </x14:cfvo>
              <x14:cfvo type="num">
                <xm:f>10</xm:f>
              </x14:cfvo>
              <x14:cfvo type="num">
                <xm:f>20</xm:f>
              </x14:cfvo>
              <x14:cfIcon iconSet="3Symbols" iconId="2"/>
              <x14:cfIcon iconSet="3Symbols" iconId="1"/>
              <x14:cfIcon iconSet="3Symbols" iconId="0"/>
            </x14:iconSet>
          </x14:cfRule>
          <xm:sqref>E44 F47</xm:sqref>
        </x14:conditionalFormatting>
        <x14:conditionalFormatting xmlns:xm="http://schemas.microsoft.com/office/excel/2006/main">
          <x14:cfRule type="iconSet" priority="30" id="{69310F4B-0F71-4266-A2B6-2C82CDED5628}">
            <x14:iconSet iconSet="3Symbols" custom="1">
              <x14:cfvo type="percent">
                <xm:f>0</xm:f>
              </x14:cfvo>
              <x14:cfvo type="num">
                <xm:f>1</xm:f>
              </x14:cfvo>
              <x14:cfvo type="num">
                <xm:f>5</xm:f>
              </x14:cfvo>
              <x14:cfIcon iconSet="3Symbols" iconId="2"/>
              <x14:cfIcon iconSet="3Symbols" iconId="1"/>
              <x14:cfIcon iconSet="3Symbols" iconId="0"/>
            </x14:iconSet>
          </x14:cfRule>
          <xm:sqref>E45 F48</xm:sqref>
        </x14:conditionalFormatting>
        <x14:conditionalFormatting xmlns:xm="http://schemas.microsoft.com/office/excel/2006/main">
          <x14:cfRule type="iconSet" priority="28" id="{357D54C8-E7C5-4664-910E-4915E1C4B22C}">
            <x14:iconSet iconSet="3Symbols" custom="1">
              <x14:cfvo type="percent">
                <xm:f>0</xm:f>
              </x14:cfvo>
              <x14:cfvo type="num">
                <xm:f>1</xm:f>
              </x14:cfvo>
              <x14:cfvo type="num">
                <xm:f>5</xm:f>
              </x14:cfvo>
              <x14:cfIcon iconSet="3Symbols" iconId="2"/>
              <x14:cfIcon iconSet="3Symbols" iconId="1"/>
              <x14:cfIcon iconSet="3Symbols" iconId="0"/>
            </x14:iconSet>
          </x14:cfRule>
          <xm:sqref>R6</xm:sqref>
        </x14:conditionalFormatting>
        <x14:conditionalFormatting xmlns:xm="http://schemas.microsoft.com/office/excel/2006/main">
          <x14:cfRule type="iconSet" priority="26" id="{1A6EA987-A641-4261-B048-84AC6756302B}">
            <x14:iconSet iconSet="3Symbols" custom="1">
              <x14:cfvo type="percent">
                <xm:f>0</xm:f>
              </x14:cfvo>
              <x14:cfvo type="num">
                <xm:f>10</xm:f>
              </x14:cfvo>
              <x14:cfvo type="num">
                <xm:f>20</xm:f>
              </x14:cfvo>
              <x14:cfIcon iconSet="3Symbols" iconId="2"/>
              <x14:cfIcon iconSet="3Symbols" iconId="1"/>
              <x14:cfIcon iconSet="3Symbols" iconId="0"/>
            </x14:iconSet>
          </x14:cfRule>
          <xm:sqref>E46 F55</xm:sqref>
        </x14:conditionalFormatting>
        <x14:conditionalFormatting xmlns:xm="http://schemas.microsoft.com/office/excel/2006/main">
          <x14:cfRule type="iconSet" priority="23" id="{A1A251E5-BA1B-4252-9C2D-16D665000E99}">
            <x14:iconSet iconSet="3Symbols" custom="1">
              <x14:cfvo type="percent">
                <xm:f>0</xm:f>
              </x14:cfvo>
              <x14:cfvo type="num">
                <xm:f>25</xm:f>
              </x14:cfvo>
              <x14:cfvo type="num">
                <xm:f>30</xm:f>
              </x14:cfvo>
              <x14:cfIcon iconSet="3Symbols" iconId="2"/>
              <x14:cfIcon iconSet="3Symbols" iconId="1"/>
              <x14:cfIcon iconSet="3Symbols" iconId="0"/>
            </x14:iconSet>
          </x14:cfRule>
          <xm:sqref>E63 F57</xm:sqref>
        </x14:conditionalFormatting>
        <x14:conditionalFormatting xmlns:xm="http://schemas.microsoft.com/office/excel/2006/main">
          <x14:cfRule type="iconSet" priority="22" id="{6B42ABE5-DF20-4E97-BF49-6C16F813BEAC}">
            <x14:iconSet iconSet="3Symbols" custom="1">
              <x14:cfvo type="percent">
                <xm:f>0</xm:f>
              </x14:cfvo>
              <x14:cfvo type="num" gte="0">
                <xm:f>100000</xm:f>
              </x14:cfvo>
              <x14:cfvo type="num">
                <xm:f>150000</xm:f>
              </x14:cfvo>
              <x14:cfIcon iconSet="3Symbols" iconId="2"/>
              <x14:cfIcon iconSet="3Symbols" iconId="1"/>
              <x14:cfIcon iconSet="3Symbols" iconId="0"/>
            </x14:iconSet>
          </x14:cfRule>
          <xm:sqref>E64 F58</xm:sqref>
        </x14:conditionalFormatting>
        <x14:conditionalFormatting xmlns:xm="http://schemas.microsoft.com/office/excel/2006/main">
          <x14:cfRule type="iconSet" priority="21" id="{394CF40C-43B9-476B-A162-E9C475A608EE}">
            <x14:iconSet iconSet="3Symbols" custom="1">
              <x14:cfvo type="percent">
                <xm:f>0</xm:f>
              </x14:cfvo>
              <x14:cfvo type="num" gte="0">
                <xm:f>100000</xm:f>
              </x14:cfvo>
              <x14:cfvo type="num">
                <xm:f>150000</xm:f>
              </x14:cfvo>
              <x14:cfIcon iconSet="3Symbols" iconId="2"/>
              <x14:cfIcon iconSet="3Symbols" iconId="1"/>
              <x14:cfIcon iconSet="3Symbols" iconId="0"/>
            </x14:iconSet>
          </x14:cfRule>
          <xm:sqref>E65:E68 F59:F62</xm:sqref>
        </x14:conditionalFormatting>
        <x14:conditionalFormatting xmlns:xm="http://schemas.microsoft.com/office/excel/2006/main">
          <x14:cfRule type="iconSet" priority="20" id="{DD7E8C8E-F255-4EAE-95D1-0F72E35B8D8A}">
            <x14:iconSet iconSet="3Symbols" custom="1">
              <x14:cfvo type="percent">
                <xm:f>0</xm:f>
              </x14:cfvo>
              <x14:cfvo type="num" gte="0">
                <xm:f>100000</xm:f>
              </x14:cfvo>
              <x14:cfvo type="num">
                <xm:f>150000</xm:f>
              </x14:cfvo>
              <x14:cfIcon iconSet="3Symbols" iconId="2"/>
              <x14:cfIcon iconSet="3Symbols" iconId="1"/>
              <x14:cfIcon iconSet="3Symbols" iconId="0"/>
            </x14:iconSet>
          </x14:cfRule>
          <xm:sqref>E69 F63</xm:sqref>
        </x14:conditionalFormatting>
        <x14:conditionalFormatting xmlns:xm="http://schemas.microsoft.com/office/excel/2006/main">
          <x14:cfRule type="iconSet" priority="19" id="{D118AD07-8E18-4B1F-BA97-45881A9E219F}">
            <x14:iconSet iconSet="3Symbols" custom="1">
              <x14:cfvo type="percent">
                <xm:f>0</xm:f>
              </x14:cfvo>
              <x14:cfvo type="num">
                <xm:f>10</xm:f>
              </x14:cfvo>
              <x14:cfvo type="num">
                <xm:f>20</xm:f>
              </x14:cfvo>
              <x14:cfIcon iconSet="3Symbols" iconId="2"/>
              <x14:cfIcon iconSet="3Symbols" iconId="1"/>
              <x14:cfIcon iconSet="3Symbols" iconId="0"/>
            </x14:iconSet>
          </x14:cfRule>
          <xm:sqref>H20:H22 H11 H9</xm:sqref>
        </x14:conditionalFormatting>
        <x14:conditionalFormatting xmlns:xm="http://schemas.microsoft.com/office/excel/2006/main">
          <x14:cfRule type="iconSet" priority="18" id="{09F271AA-C32B-4270-80D8-9175F3FDB986}">
            <x14:iconSet iconSet="3Symbols" custom="1">
              <x14:cfvo type="percent">
                <xm:f>0</xm:f>
              </x14:cfvo>
              <x14:cfvo type="num">
                <xm:f>1</xm:f>
              </x14:cfvo>
              <x14:cfvo type="num">
                <xm:f>5</xm:f>
              </x14:cfvo>
              <x14:cfIcon iconSet="3Symbols" iconId="2"/>
              <x14:cfIcon iconSet="3Symbols" iconId="1"/>
              <x14:cfIcon iconSet="3Symbols" iconId="0"/>
            </x14:iconSet>
          </x14:cfRule>
          <xm:sqref>H10</xm:sqref>
        </x14:conditionalFormatting>
        <x14:conditionalFormatting xmlns:xm="http://schemas.microsoft.com/office/excel/2006/main">
          <x14:cfRule type="iconSet" priority="17" id="{AF967FDB-C65B-489C-BE15-48E474D2F6A5}">
            <x14:iconSet iconSet="3Symbols" custom="1">
              <x14:cfvo type="percent">
                <xm:f>0</xm:f>
              </x14:cfvo>
              <x14:cfvo type="num">
                <xm:f>10</xm:f>
              </x14:cfvo>
              <x14:cfvo type="num">
                <xm:f>20</xm:f>
              </x14:cfvo>
              <x14:cfIcon iconSet="3Symbols" iconId="2"/>
              <x14:cfIcon iconSet="3Symbols" iconId="1"/>
              <x14:cfIcon iconSet="3Symbols" iconId="0"/>
            </x14:iconSet>
          </x14:cfRule>
          <xm:sqref>E48 F54</xm:sqref>
        </x14:conditionalFormatting>
        <x14:conditionalFormatting xmlns:xm="http://schemas.microsoft.com/office/excel/2006/main">
          <x14:cfRule type="iconSet" priority="16" id="{2A463784-332D-4F13-8170-48A7929F043C}">
            <x14:iconSet iconSet="3Symbols" custom="1">
              <x14:cfvo type="percent">
                <xm:f>0</xm:f>
              </x14:cfvo>
              <x14:cfvo type="num">
                <xm:f>10</xm:f>
              </x14:cfvo>
              <x14:cfvo type="num">
                <xm:f>20</xm:f>
              </x14:cfvo>
              <x14:cfIcon iconSet="3Symbols" iconId="2"/>
              <x14:cfIcon iconSet="3Symbols" iconId="1"/>
              <x14:cfIcon iconSet="3Symbols" iconId="0"/>
            </x14:iconSet>
          </x14:cfRule>
          <xm:sqref>H12</xm:sqref>
        </x14:conditionalFormatting>
        <x14:conditionalFormatting xmlns:xm="http://schemas.microsoft.com/office/excel/2006/main">
          <x14:cfRule type="iconSet" priority="14" id="{8931C9A1-E0CA-4B84-B9F9-015615BF8212}">
            <x14:iconSet iconSet="3Symbols" custom="1">
              <x14:cfvo type="percent">
                <xm:f>0</xm:f>
              </x14:cfvo>
              <x14:cfvo type="num">
                <xm:f>50</xm:f>
              </x14:cfvo>
              <x14:cfvo type="num">
                <xm:f>90</xm:f>
              </x14:cfvo>
              <x14:cfIcon iconSet="3Symbols" iconId="0"/>
              <x14:cfIcon iconSet="3Symbols" iconId="1"/>
              <x14:cfIcon iconSet="3Symbols" iconId="2"/>
            </x14:iconSet>
          </x14:cfRule>
          <xm:sqref>H24</xm:sqref>
        </x14:conditionalFormatting>
        <x14:conditionalFormatting xmlns:xm="http://schemas.microsoft.com/office/excel/2006/main">
          <x14:cfRule type="iconSet" priority="13" id="{7207D7D1-7A3C-4A12-9400-78D3E38D1B93}">
            <x14:iconSet iconSet="3Symbols" custom="1">
              <x14:cfvo type="percent">
                <xm:f>0</xm:f>
              </x14:cfvo>
              <x14:cfvo type="num">
                <xm:f>25</xm:f>
              </x14:cfvo>
              <x14:cfvo type="num">
                <xm:f>30</xm:f>
              </x14:cfvo>
              <x14:cfIcon iconSet="3Symbols" iconId="2"/>
              <x14:cfIcon iconSet="3Symbols" iconId="1"/>
              <x14:cfIcon iconSet="3Symbols" iconId="0"/>
            </x14:iconSet>
          </x14:cfRule>
          <xm:sqref>H25</xm:sqref>
        </x14:conditionalFormatting>
        <x14:conditionalFormatting xmlns:xm="http://schemas.microsoft.com/office/excel/2006/main">
          <x14:cfRule type="iconSet" priority="12" id="{F231356E-3B3D-4DA0-B792-735722B41166}">
            <x14:iconSet iconSet="3Symbols" custom="1">
              <x14:cfvo type="percent">
                <xm:f>0</xm:f>
              </x14:cfvo>
              <x14:cfvo type="num" gte="0">
                <xm:f>100000</xm:f>
              </x14:cfvo>
              <x14:cfvo type="num">
                <xm:f>150000</xm:f>
              </x14:cfvo>
              <x14:cfIcon iconSet="3Symbols" iconId="2"/>
              <x14:cfIcon iconSet="3Symbols" iconId="1"/>
              <x14:cfIcon iconSet="3Symbols" iconId="0"/>
            </x14:iconSet>
          </x14:cfRule>
          <xm:sqref>H28:H33</xm:sqref>
        </x14:conditionalFormatting>
        <x14:conditionalFormatting xmlns:xm="http://schemas.microsoft.com/office/excel/2006/main">
          <x14:cfRule type="iconSet" priority="11" id="{7B666012-649B-4D30-A56B-379DB25C7ED6}">
            <x14:iconSet iconSet="3Symbols" custom="1">
              <x14:cfvo type="percent">
                <xm:f>0</xm:f>
              </x14:cfvo>
              <x14:cfvo type="num">
                <xm:f>10</xm:f>
              </x14:cfvo>
              <x14:cfvo type="num">
                <xm:f>20</xm:f>
              </x14:cfvo>
              <x14:cfIcon iconSet="3Symbols" iconId="2"/>
              <x14:cfIcon iconSet="3Symbols" iconId="1"/>
              <x14:cfIcon iconSet="3Symbols" iconId="0"/>
            </x14:iconSet>
          </x14:cfRule>
          <xm:sqref>F64</xm:sqref>
        </x14:conditionalFormatting>
        <x14:conditionalFormatting xmlns:xm="http://schemas.microsoft.com/office/excel/2006/main">
          <x14:cfRule type="iconSet" priority="10" id="{D1B38D03-3F75-47B4-9B65-8C442539BF23}">
            <x14:iconSet iconSet="3Symbols" custom="1">
              <x14:cfvo type="percent">
                <xm:f>0</xm:f>
              </x14:cfvo>
              <x14:cfvo type="num">
                <xm:f>10</xm:f>
              </x14:cfvo>
              <x14:cfvo type="num">
                <xm:f>20</xm:f>
              </x14:cfvo>
              <x14:cfIcon iconSet="3Symbols" iconId="2"/>
              <x14:cfIcon iconSet="3Symbols" iconId="1"/>
              <x14:cfIcon iconSet="3Symbols" iconId="0"/>
            </x14:iconSet>
          </x14:cfRule>
          <xm:sqref>H13</xm:sqref>
        </x14:conditionalFormatting>
        <x14:conditionalFormatting xmlns:xm="http://schemas.microsoft.com/office/excel/2006/main">
          <x14:cfRule type="iconSet" priority="54" id="{EF81E49D-31B3-49AB-9614-2D8F80BC8897}">
            <x14:iconSet iconSet="3Symbols" custom="1">
              <x14:cfvo type="percent">
                <xm:f>0</xm:f>
              </x14:cfvo>
              <x14:cfvo type="num">
                <xm:f>75</xm:f>
              </x14:cfvo>
              <x14:cfvo type="num">
                <xm:f>100</xm:f>
              </x14:cfvo>
              <x14:cfIcon iconSet="3Symbols" iconId="2"/>
              <x14:cfIcon iconSet="3Symbols" iconId="1"/>
              <x14:cfIcon iconSet="3Symbols" iconId="0"/>
            </x14:iconSet>
          </x14:cfRule>
          <xm:sqref>E47</xm:sqref>
        </x14:conditionalFormatting>
        <x14:conditionalFormatting xmlns:xm="http://schemas.microsoft.com/office/excel/2006/main">
          <x14:cfRule type="iconSet" priority="56" id="{4CF5F0EC-AE74-4270-9863-63AC22640B3E}">
            <x14:iconSet iconSet="3Symbols" custom="1">
              <x14:cfvo type="percent">
                <xm:f>0</xm:f>
              </x14:cfvo>
              <x14:cfvo type="num">
                <xm:f>50</xm:f>
              </x14:cfvo>
              <x14:cfvo type="num">
                <xm:f>90</xm:f>
              </x14:cfvo>
              <x14:cfIcon iconSet="3Symbols" iconId="0"/>
              <x14:cfIcon iconSet="3Symbols" iconId="1"/>
              <x14:cfIcon iconSet="3Symbols" iconId="2"/>
            </x14:iconSet>
          </x14:cfRule>
          <xm:sqref>E62</xm:sqref>
        </x14:conditionalFormatting>
        <x14:conditionalFormatting xmlns:xm="http://schemas.microsoft.com/office/excel/2006/main">
          <x14:cfRule type="iconSet" priority="9" id="{425E78E6-6AD2-46C1-AD44-7CD736CA630F}">
            <x14:iconSet iconSet="3Symbols" custom="1">
              <x14:cfvo type="percent">
                <xm:f>0</xm:f>
              </x14:cfvo>
              <x14:cfvo type="num">
                <xm:f>10</xm:f>
              </x14:cfvo>
              <x14:cfvo type="num">
                <xm:f>20</xm:f>
              </x14:cfvo>
              <x14:cfIcon iconSet="3Symbols" iconId="2"/>
              <x14:cfIcon iconSet="3Symbols" iconId="1"/>
              <x14:cfIcon iconSet="3Symbols" iconId="0"/>
            </x14:iconSet>
          </x14:cfRule>
          <xm:sqref>E49</xm:sqref>
        </x14:conditionalFormatting>
        <x14:conditionalFormatting xmlns:xm="http://schemas.microsoft.com/office/excel/2006/main">
          <x14:cfRule type="iconSet" priority="7" id="{0ACB3BD6-100B-4DAC-8922-AF5E01F46D1E}">
            <x14:iconSet iconSet="3Symbols" custom="1">
              <x14:cfvo type="percent">
                <xm:f>0</xm:f>
              </x14:cfvo>
              <x14:cfvo type="num">
                <xm:f>10</xm:f>
              </x14:cfvo>
              <x14:cfvo type="num">
                <xm:f>20</xm:f>
              </x14:cfvo>
              <x14:cfIcon iconSet="3Symbols" iconId="2"/>
              <x14:cfIcon iconSet="3Symbols" iconId="1"/>
              <x14:cfIcon iconSet="3Symbols" iconId="0"/>
            </x14:iconSet>
          </x14:cfRule>
          <xm:sqref>E60</xm:sqref>
        </x14:conditionalFormatting>
        <x14:conditionalFormatting xmlns:xm="http://schemas.microsoft.com/office/excel/2006/main">
          <x14:cfRule type="iconSet" priority="4" id="{D79E2AEF-F81C-4874-B256-41EC31530AAB}">
            <x14:iconSet iconSet="3Symbols" custom="1">
              <x14:cfvo type="percent">
                <xm:f>0</xm:f>
              </x14:cfvo>
              <x14:cfvo type="num">
                <xm:f>10</xm:f>
              </x14:cfvo>
              <x14:cfvo type="num">
                <xm:f>20</xm:f>
              </x14:cfvo>
              <x14:cfIcon iconSet="3Symbols" iconId="2"/>
              <x14:cfIcon iconSet="3Symbols" iconId="1"/>
              <x14:cfIcon iconSet="3Symbols" iconId="0"/>
            </x14:iconSet>
          </x14:cfRule>
          <xm:sqref>H14</xm:sqref>
        </x14:conditionalFormatting>
        <x14:conditionalFormatting xmlns:xm="http://schemas.microsoft.com/office/excel/2006/main">
          <x14:cfRule type="iconSet" priority="3" id="{C500EBC4-386C-4EE7-9E5B-1785C36E8EEA}">
            <x14:iconSet iconSet="3Symbols" custom="1">
              <x14:cfvo type="percent">
                <xm:f>0</xm:f>
              </x14:cfvo>
              <x14:cfvo type="num">
                <xm:f>10</xm:f>
              </x14:cfvo>
              <x14:cfvo type="num">
                <xm:f>20</xm:f>
              </x14:cfvo>
              <x14:cfIcon iconSet="3Symbols" iconId="2"/>
              <x14:cfIcon iconSet="3Symbols" iconId="1"/>
              <x14:cfIcon iconSet="3Symbols" iconId="0"/>
            </x14:iconSet>
          </x14:cfRule>
          <xm:sqref>H15</xm:sqref>
        </x14:conditionalFormatting>
        <x14:conditionalFormatting xmlns:xm="http://schemas.microsoft.com/office/excel/2006/main">
          <x14:cfRule type="iconSet" priority="2" id="{E75011F8-41BA-4A84-BF59-EC62A129CD52}">
            <x14:iconSet iconSet="3Symbols" custom="1">
              <x14:cfvo type="percent">
                <xm:f>0</xm:f>
              </x14:cfvo>
              <x14:cfvo type="num">
                <xm:f>1</xm:f>
              </x14:cfvo>
              <x14:cfvo type="num">
                <xm:f>5</xm:f>
              </x14:cfvo>
              <x14:cfIcon iconSet="3Symbols" iconId="2"/>
              <x14:cfIcon iconSet="3Symbols" iconId="1"/>
              <x14:cfIcon iconSet="3Symbols" iconId="0"/>
            </x14:iconSet>
          </x14:cfRule>
          <xm:sqref>H16</xm:sqref>
        </x14:conditionalFormatting>
        <x14:conditionalFormatting xmlns:xm="http://schemas.microsoft.com/office/excel/2006/main">
          <x14:cfRule type="iconSet" priority="1" id="{A80704BD-2B98-4D20-A2C2-86CA350BB845}">
            <x14:iconSet iconSet="3Symbols" custom="1">
              <x14:cfvo type="percent">
                <xm:f>0</xm:f>
              </x14:cfvo>
              <x14:cfvo type="num">
                <xm:f>10</xm:f>
              </x14:cfvo>
              <x14:cfvo type="num">
                <xm:f>20</xm:f>
              </x14:cfvo>
              <x14:cfIcon iconSet="3Symbols" iconId="2"/>
              <x14:cfIcon iconSet="3Symbols" iconId="1"/>
              <x14:cfIcon iconSet="3Symbols" iconId="0"/>
            </x14:iconSet>
          </x14:cfRule>
          <xm:sqref>H18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00ECE-CF78-410A-96D5-DC55EE29E34E}">
  <sheetPr codeName="Tabelle5"/>
  <dimension ref="A1:IU274"/>
  <sheetViews>
    <sheetView zoomScale="85" zoomScaleNormal="85" workbookViewId="0">
      <selection activeCell="J27" sqref="J27"/>
    </sheetView>
  </sheetViews>
  <sheetFormatPr baseColWidth="10" defaultColWidth="25" defaultRowHeight="12.75" x14ac:dyDescent="0.2"/>
  <cols>
    <col min="1" max="1" width="14.7109375" style="1" customWidth="1"/>
    <col min="2" max="2" width="21.28515625" style="1" customWidth="1"/>
    <col min="3" max="3" width="17.5703125" style="2" customWidth="1"/>
    <col min="4" max="4" width="34.7109375" style="1" customWidth="1"/>
    <col min="5" max="5" width="25.5703125" style="1" customWidth="1"/>
    <col min="6" max="6" width="15.7109375" style="3" customWidth="1"/>
    <col min="7" max="7" width="66.7109375" style="1" customWidth="1"/>
    <col min="8" max="8" width="3.42578125" style="1" customWidth="1"/>
    <col min="9" max="9" width="15.28515625" style="1" customWidth="1"/>
    <col min="10" max="10" width="30" style="1" customWidth="1"/>
    <col min="11" max="11" width="14.28515625" style="1" customWidth="1"/>
    <col min="12" max="12" width="23.5703125" style="1" customWidth="1"/>
    <col min="13" max="13" width="15.5703125" style="1" customWidth="1"/>
    <col min="14" max="14" width="89" style="1" customWidth="1"/>
    <col min="15" max="17" width="25.7109375" style="3" customWidth="1"/>
    <col min="18" max="18" width="25.7109375" style="154" customWidth="1"/>
    <col min="19" max="21" width="2.5703125" style="1" customWidth="1"/>
    <col min="22" max="25" width="7.42578125" style="1" customWidth="1"/>
    <col min="26" max="16384" width="25" style="1"/>
  </cols>
  <sheetData>
    <row r="1" spans="1:25" ht="13.5" thickBot="1" x14ac:dyDescent="0.25">
      <c r="R1" s="4"/>
    </row>
    <row r="2" spans="1:25" ht="44.25" customHeight="1" thickBot="1" x14ac:dyDescent="0.25">
      <c r="A2" s="1" t="s">
        <v>0</v>
      </c>
      <c r="B2" s="5" t="s">
        <v>1</v>
      </c>
      <c r="C2" s="6"/>
      <c r="D2" s="806" t="s">
        <v>2</v>
      </c>
      <c r="E2" s="807"/>
      <c r="F2" s="807"/>
      <c r="G2" s="808"/>
      <c r="I2" s="806" t="s">
        <v>3</v>
      </c>
      <c r="J2" s="807"/>
      <c r="K2" s="807"/>
      <c r="L2" s="808"/>
      <c r="N2" s="7" t="s">
        <v>4</v>
      </c>
      <c r="R2" s="4"/>
    </row>
    <row r="3" spans="1:25" ht="18" customHeight="1" thickBot="1" x14ac:dyDescent="0.3">
      <c r="B3" s="8" t="s">
        <v>5</v>
      </c>
      <c r="C3" s="9" t="str">
        <f>'Calculator (for experts)'!E9</f>
        <v>M</v>
      </c>
      <c r="D3" s="8" t="str">
        <f>B2</f>
        <v xml:space="preserve"> </v>
      </c>
      <c r="E3" s="10"/>
      <c r="F3" s="11"/>
      <c r="G3" s="12"/>
      <c r="H3" s="13"/>
      <c r="I3" s="14"/>
      <c r="J3" s="15"/>
      <c r="K3" s="16"/>
      <c r="L3" s="17"/>
      <c r="N3" s="18"/>
      <c r="R3" s="4"/>
      <c r="V3" s="3" t="str">
        <f>LEFT('Calculator (for experts)'!P5,1)&amp;LEFT('Calculator (for experts)'!S5,1)</f>
        <v>HH</v>
      </c>
      <c r="W3" s="452" t="s">
        <v>334</v>
      </c>
      <c r="X3" s="452" t="s">
        <v>166</v>
      </c>
      <c r="Y3" s="452" t="s">
        <v>335</v>
      </c>
    </row>
    <row r="4" spans="1:25" ht="18" customHeight="1" thickBot="1" x14ac:dyDescent="0.3">
      <c r="B4" s="8" t="s">
        <v>6</v>
      </c>
      <c r="C4" s="9">
        <f>'Calculator (for experts)'!E10</f>
        <v>68</v>
      </c>
      <c r="D4" s="20" t="s">
        <v>1</v>
      </c>
      <c r="E4" s="21" t="s">
        <v>1</v>
      </c>
      <c r="F4" s="22"/>
      <c r="G4" s="12"/>
      <c r="H4" s="13"/>
      <c r="I4" s="23" t="s">
        <v>7</v>
      </c>
      <c r="J4" s="24" t="s">
        <v>8</v>
      </c>
      <c r="K4" s="25">
        <f>C4</f>
        <v>68</v>
      </c>
      <c r="L4" s="26"/>
      <c r="N4" s="1" t="s">
        <v>9</v>
      </c>
      <c r="O4" s="55">
        <f>IF(G22="",F17,G24)</f>
        <v>76.150702012561993</v>
      </c>
      <c r="P4" s="27" t="s">
        <v>10</v>
      </c>
      <c r="R4" s="4"/>
      <c r="V4" s="452" t="s">
        <v>334</v>
      </c>
      <c r="W4" s="454" t="str">
        <f>V4&amp;W3</f>
        <v>LL</v>
      </c>
      <c r="X4" s="453" t="str">
        <f>V4&amp;X3</f>
        <v>LM</v>
      </c>
      <c r="Y4" s="453" t="str">
        <f>V4&amp;Y3</f>
        <v>LH</v>
      </c>
    </row>
    <row r="5" spans="1:25" ht="18" customHeight="1" thickBot="1" x14ac:dyDescent="0.3">
      <c r="B5" s="8" t="s">
        <v>11</v>
      </c>
      <c r="C5" s="9">
        <f>'Calculator (for experts)'!E24</f>
        <v>170</v>
      </c>
      <c r="D5" s="28" t="s">
        <v>7</v>
      </c>
      <c r="E5" s="29" t="s">
        <v>12</v>
      </c>
      <c r="F5" s="30">
        <f>C4</f>
        <v>68</v>
      </c>
      <c r="G5" s="31">
        <f>G22</f>
        <v>68</v>
      </c>
      <c r="I5" s="32"/>
      <c r="J5" s="33" t="s">
        <v>13</v>
      </c>
      <c r="K5" s="34" t="str">
        <f>C3</f>
        <v>M</v>
      </c>
      <c r="L5" s="35"/>
      <c r="N5" s="1" t="s">
        <v>14</v>
      </c>
      <c r="O5" s="36">
        <f>0.46*F15*22</f>
        <v>29.348000000000003</v>
      </c>
      <c r="P5" s="27">
        <f>O4*0.6</f>
        <v>45.690421207537192</v>
      </c>
      <c r="R5" s="4"/>
      <c r="V5" s="452" t="s">
        <v>166</v>
      </c>
      <c r="W5" s="453" t="str">
        <f>V5&amp;W3</f>
        <v>ML</v>
      </c>
      <c r="X5" s="454" t="str">
        <f>V5&amp;X3</f>
        <v>MM</v>
      </c>
      <c r="Y5" s="455" t="str">
        <f>V5&amp;Y3</f>
        <v>MH</v>
      </c>
    </row>
    <row r="6" spans="1:25" ht="18" customHeight="1" thickBot="1" x14ac:dyDescent="0.3">
      <c r="B6" s="37" t="s">
        <v>15</v>
      </c>
      <c r="C6" s="9">
        <f>'Calculator (for experts)'!E25</f>
        <v>58</v>
      </c>
      <c r="D6" s="38"/>
      <c r="E6" s="39" t="s">
        <v>16</v>
      </c>
      <c r="F6" s="40" t="str">
        <f>C3</f>
        <v>M</v>
      </c>
      <c r="G6" s="31" t="str">
        <f t="shared" ref="G6:G11" si="0">F6</f>
        <v>M</v>
      </c>
      <c r="I6" s="32"/>
      <c r="J6" s="33" t="s">
        <v>17</v>
      </c>
      <c r="K6" s="41" t="str">
        <f>C11</f>
        <v>Y</v>
      </c>
      <c r="L6" s="35"/>
      <c r="N6" s="1" t="s">
        <v>18</v>
      </c>
      <c r="O6" s="27">
        <f>0.6*F15*22</f>
        <v>38.28</v>
      </c>
      <c r="R6" s="4"/>
      <c r="V6" s="452" t="s">
        <v>335</v>
      </c>
      <c r="W6" s="453" t="str">
        <f>V6&amp;W3</f>
        <v>HL</v>
      </c>
      <c r="X6" s="455" t="str">
        <f>V6&amp;X3</f>
        <v>HM</v>
      </c>
      <c r="Y6" s="454" t="str">
        <f>V6&amp;Y3</f>
        <v>HH</v>
      </c>
    </row>
    <row r="7" spans="1:25" ht="18" customHeight="1" thickBot="1" x14ac:dyDescent="0.3">
      <c r="B7" s="8" t="s">
        <v>19</v>
      </c>
      <c r="C7" s="9">
        <v>124</v>
      </c>
      <c r="D7" s="38"/>
      <c r="E7" s="39" t="s">
        <v>20</v>
      </c>
      <c r="F7" s="42">
        <f>C8</f>
        <v>140</v>
      </c>
      <c r="G7" s="31">
        <f t="shared" si="0"/>
        <v>140</v>
      </c>
      <c r="I7" s="32"/>
      <c r="J7" s="33" t="s">
        <v>21</v>
      </c>
      <c r="K7" s="41">
        <f>C8</f>
        <v>140</v>
      </c>
      <c r="L7" s="26"/>
      <c r="N7" s="1" t="s">
        <v>22</v>
      </c>
      <c r="O7" s="27">
        <v>80</v>
      </c>
      <c r="R7" s="4"/>
    </row>
    <row r="8" spans="1:25" ht="18" customHeight="1" thickBot="1" x14ac:dyDescent="0.3">
      <c r="B8" s="43" t="s">
        <v>23</v>
      </c>
      <c r="C8" s="460">
        <f>'Calculator (for experts)'!E11</f>
        <v>140</v>
      </c>
      <c r="D8" s="20"/>
      <c r="E8" s="44" t="s">
        <v>24</v>
      </c>
      <c r="F8" s="45" t="str">
        <f>C9</f>
        <v>Y</v>
      </c>
      <c r="G8" s="31" t="str">
        <f t="shared" si="0"/>
        <v>Y</v>
      </c>
      <c r="I8" s="46"/>
      <c r="J8" s="47" t="s">
        <v>24</v>
      </c>
      <c r="K8" s="48" t="str">
        <f>C9</f>
        <v>Y</v>
      </c>
      <c r="L8" s="26"/>
      <c r="N8" s="1" t="s">
        <v>25</v>
      </c>
      <c r="O8" s="36">
        <f>0.2*F15*21</f>
        <v>12.18</v>
      </c>
      <c r="R8" s="4"/>
    </row>
    <row r="9" spans="1:25" ht="18" customHeight="1" thickBot="1" x14ac:dyDescent="0.3">
      <c r="B9" s="8" t="s">
        <v>26</v>
      </c>
      <c r="C9" s="9" t="str">
        <f>'Calculator (for experts)'!E12</f>
        <v>Y</v>
      </c>
      <c r="D9" s="38"/>
      <c r="E9" s="49"/>
      <c r="F9" s="50"/>
      <c r="G9" s="31" t="s">
        <v>1</v>
      </c>
      <c r="I9" s="32"/>
      <c r="J9" s="51"/>
      <c r="K9" s="52"/>
      <c r="L9" s="26"/>
      <c r="N9" s="1" t="s">
        <v>28</v>
      </c>
      <c r="O9" s="36">
        <v>0.37</v>
      </c>
      <c r="Q9" s="53"/>
      <c r="R9" s="4"/>
      <c r="V9" s="457" t="s">
        <v>336</v>
      </c>
      <c r="W9" s="1" t="s">
        <v>528</v>
      </c>
    </row>
    <row r="10" spans="1:25" ht="18" customHeight="1" thickBot="1" x14ac:dyDescent="0.3">
      <c r="B10" s="8" t="s">
        <v>29</v>
      </c>
      <c r="C10" s="9" t="str">
        <f>'Calculator (for experts)'!E13</f>
        <v>Y</v>
      </c>
      <c r="D10" s="28" t="s">
        <v>30</v>
      </c>
      <c r="E10" s="29" t="s">
        <v>31</v>
      </c>
      <c r="F10" s="54" t="str">
        <f>C10</f>
        <v>Y</v>
      </c>
      <c r="G10" s="31" t="str">
        <f t="shared" si="0"/>
        <v>Y</v>
      </c>
      <c r="I10" s="23" t="s">
        <v>30</v>
      </c>
      <c r="J10" s="24" t="s">
        <v>31</v>
      </c>
      <c r="K10" s="25" t="str">
        <f>C10</f>
        <v>Y</v>
      </c>
      <c r="L10" s="26"/>
      <c r="N10" s="1" t="s">
        <v>32</v>
      </c>
      <c r="O10" s="55">
        <v>1.37</v>
      </c>
      <c r="R10" s="4"/>
      <c r="V10" s="458" t="s">
        <v>337</v>
      </c>
      <c r="W10" s="1" t="s">
        <v>527</v>
      </c>
    </row>
    <row r="11" spans="1:25" ht="18" customHeight="1" thickBot="1" x14ac:dyDescent="0.3">
      <c r="B11" s="8" t="s">
        <v>33</v>
      </c>
      <c r="C11" s="9" t="str">
        <f>'Calculator (for experts)'!E14</f>
        <v>Y</v>
      </c>
      <c r="D11" s="20"/>
      <c r="E11" s="44" t="s">
        <v>17</v>
      </c>
      <c r="F11" s="56" t="str">
        <f>C11</f>
        <v>Y</v>
      </c>
      <c r="G11" s="31" t="str">
        <f t="shared" si="0"/>
        <v>Y</v>
      </c>
      <c r="I11" s="32"/>
      <c r="J11" s="33" t="s">
        <v>34</v>
      </c>
      <c r="K11" s="41" t="str">
        <f>C12</f>
        <v>N</v>
      </c>
      <c r="L11" s="26"/>
      <c r="N11" s="1" t="s">
        <v>35</v>
      </c>
      <c r="O11" s="55">
        <v>19.91</v>
      </c>
      <c r="R11" s="4"/>
      <c r="V11" s="458" t="s">
        <v>338</v>
      </c>
      <c r="W11" s="1" t="s">
        <v>527</v>
      </c>
    </row>
    <row r="12" spans="1:25" ht="18" customHeight="1" thickBot="1" x14ac:dyDescent="0.3">
      <c r="B12" s="8" t="s">
        <v>36</v>
      </c>
      <c r="C12" s="9" t="str">
        <f>'Calculator (for experts)'!E20</f>
        <v>N</v>
      </c>
      <c r="D12" s="38"/>
      <c r="E12" s="49"/>
      <c r="F12" s="50"/>
      <c r="G12" s="31" t="s">
        <v>1</v>
      </c>
      <c r="I12" s="32"/>
      <c r="J12" s="33" t="s">
        <v>37</v>
      </c>
      <c r="K12" s="41" t="str">
        <f>C14</f>
        <v>N</v>
      </c>
      <c r="L12" s="26"/>
      <c r="N12" s="1" t="s">
        <v>38</v>
      </c>
      <c r="O12" s="57">
        <v>191494</v>
      </c>
      <c r="R12" s="4"/>
      <c r="V12" s="458" t="s">
        <v>339</v>
      </c>
      <c r="W12" s="1" t="s">
        <v>527</v>
      </c>
    </row>
    <row r="13" spans="1:25" ht="18" customHeight="1" thickBot="1" x14ac:dyDescent="0.3">
      <c r="B13" s="8" t="s">
        <v>39</v>
      </c>
      <c r="C13" s="9" t="str">
        <f>'Calculator (for experts)'!E21</f>
        <v>Y</v>
      </c>
      <c r="D13" s="28" t="s">
        <v>40</v>
      </c>
      <c r="E13" s="29" t="s">
        <v>41</v>
      </c>
      <c r="F13" s="58">
        <f>C17</f>
        <v>0.9</v>
      </c>
      <c r="G13" s="31">
        <f>F13</f>
        <v>0.9</v>
      </c>
      <c r="I13" s="32"/>
      <c r="J13" s="33" t="s">
        <v>42</v>
      </c>
      <c r="K13" s="41" t="str">
        <f>C15</f>
        <v>N</v>
      </c>
      <c r="L13" s="26"/>
      <c r="M13" s="1" t="s">
        <v>1</v>
      </c>
      <c r="N13" s="59" t="s">
        <v>4</v>
      </c>
      <c r="O13" s="60" t="s">
        <v>43</v>
      </c>
      <c r="P13" s="60"/>
      <c r="Q13" s="60" t="s">
        <v>45</v>
      </c>
      <c r="R13" s="61" t="s">
        <v>46</v>
      </c>
      <c r="V13" s="457" t="s">
        <v>340</v>
      </c>
      <c r="W13" s="1" t="s">
        <v>528</v>
      </c>
    </row>
    <row r="14" spans="1:25" ht="18" customHeight="1" thickBot="1" x14ac:dyDescent="0.3">
      <c r="B14" s="8" t="s">
        <v>47</v>
      </c>
      <c r="C14" s="9" t="str">
        <f>'Calculator (for experts)'!E22</f>
        <v>N</v>
      </c>
      <c r="D14" s="38"/>
      <c r="E14" s="39" t="s">
        <v>48</v>
      </c>
      <c r="F14" s="62">
        <f>C16</f>
        <v>4.4000000000000004</v>
      </c>
      <c r="G14" s="31">
        <f>F14</f>
        <v>4.4000000000000004</v>
      </c>
      <c r="I14" s="46"/>
      <c r="J14" s="47" t="s">
        <v>49</v>
      </c>
      <c r="K14" s="48" t="str">
        <f>C13</f>
        <v>Y</v>
      </c>
      <c r="L14" s="26"/>
      <c r="O14" s="63"/>
      <c r="P14" s="63"/>
      <c r="Q14" s="63"/>
      <c r="R14" s="64"/>
      <c r="V14" s="456" t="s">
        <v>341</v>
      </c>
      <c r="W14" s="1" t="s">
        <v>527</v>
      </c>
    </row>
    <row r="15" spans="1:25" ht="18" customHeight="1" thickBot="1" x14ac:dyDescent="0.3">
      <c r="B15" s="37" t="s">
        <v>50</v>
      </c>
      <c r="C15" s="9" t="str">
        <f>'Calculator (for experts)'!E23</f>
        <v>N</v>
      </c>
      <c r="D15" s="20"/>
      <c r="E15" s="44" t="s">
        <v>51</v>
      </c>
      <c r="F15" s="65">
        <f>C18</f>
        <v>2.9</v>
      </c>
      <c r="G15" s="31">
        <f>F15</f>
        <v>2.9</v>
      </c>
      <c r="I15" s="32"/>
      <c r="J15" s="51"/>
      <c r="K15" s="52"/>
      <c r="L15" s="26"/>
      <c r="N15" s="1" t="s">
        <v>52</v>
      </c>
      <c r="O15" s="63">
        <f>$O$4</f>
        <v>76.150702012561993</v>
      </c>
      <c r="P15" s="63"/>
      <c r="Q15" s="63">
        <f>$O$4</f>
        <v>76.150702012561993</v>
      </c>
      <c r="R15" s="64">
        <f>$O$4</f>
        <v>76.150702012561993</v>
      </c>
      <c r="V15" s="458" t="s">
        <v>342</v>
      </c>
      <c r="W15" s="1" t="s">
        <v>527</v>
      </c>
    </row>
    <row r="16" spans="1:25" ht="18" customHeight="1" thickBot="1" x14ac:dyDescent="0.3">
      <c r="B16" s="43" t="s">
        <v>53</v>
      </c>
      <c r="C16" s="9">
        <f>'Calculator (for experts)'!E15</f>
        <v>4.4000000000000004</v>
      </c>
      <c r="D16" s="38"/>
      <c r="E16" s="67"/>
      <c r="F16" s="68"/>
      <c r="G16" s="69" t="s">
        <v>54</v>
      </c>
      <c r="I16" s="32" t="s">
        <v>40</v>
      </c>
      <c r="J16" s="51" t="s">
        <v>41</v>
      </c>
      <c r="K16" s="70">
        <f>C17</f>
        <v>0.9</v>
      </c>
      <c r="L16" s="26"/>
      <c r="N16" s="1" t="s">
        <v>163</v>
      </c>
      <c r="O16" s="63">
        <f>'Calculator (for experts)'!E17</f>
        <v>2.9</v>
      </c>
      <c r="P16" s="63"/>
      <c r="Q16" s="63">
        <f>'Calculator (for experts)'!E17</f>
        <v>2.9</v>
      </c>
      <c r="R16" s="64">
        <f>'Calculator (for experts)'!E17</f>
        <v>2.9</v>
      </c>
      <c r="V16" s="456" t="s">
        <v>343</v>
      </c>
      <c r="W16" s="1" t="s">
        <v>527</v>
      </c>
    </row>
    <row r="17" spans="2:255" ht="18" customHeight="1" thickBot="1" x14ac:dyDescent="0.3">
      <c r="B17" s="8" t="s">
        <v>56</v>
      </c>
      <c r="C17" s="9">
        <f>'Calculator (for experts)'!E16</f>
        <v>0.9</v>
      </c>
      <c r="D17" s="71" t="s">
        <v>57</v>
      </c>
      <c r="E17" s="72" t="s">
        <v>58</v>
      </c>
      <c r="F17" s="73">
        <f>'Calculator (for experts)'!E42*(100*IF(F6="M",(1-POWER(0.88936,EXP((3.06117*LN(F5)+1.1237*LN(F14*38.66)-0.93263*LN(F13*38.66)+(IF(F8="N",1.93303*LN(F7),1.99881*LN(F7)))+(IF(F11="N",0,0.65451))+(IF(F10="N",0,0.57367)))-23.9802))),(1-POWER(0.95012,EXP((2.32888*LN(F5)+1.20904*LN(F14*38.66)-0.70833*LN(F13*38.66)+(IF(F8="N",2.76157*LN(F7),2.82263*LN(F7)))+(IF(F11="N",0,0.52873))+(IF(F10="N",0,0.69154)))-26.1931)))))</f>
        <v>76.150702012561993</v>
      </c>
      <c r="G17" s="74">
        <f>(F17*0.6)*0.7</f>
        <v>31.983294845276031</v>
      </c>
      <c r="I17" s="32"/>
      <c r="J17" s="51" t="s">
        <v>48</v>
      </c>
      <c r="K17" s="34">
        <f>C16</f>
        <v>4.4000000000000004</v>
      </c>
      <c r="L17" s="26"/>
      <c r="N17" s="1" t="s">
        <v>446</v>
      </c>
      <c r="O17" s="63">
        <f>O16*0.8</f>
        <v>2.3199999999999998</v>
      </c>
      <c r="P17" s="63"/>
      <c r="Q17" s="63">
        <f>Q16/2</f>
        <v>1.45</v>
      </c>
      <c r="R17" s="63">
        <f>R16*0.65</f>
        <v>1.885</v>
      </c>
      <c r="V17" s="457" t="s">
        <v>344</v>
      </c>
      <c r="W17" s="1" t="s">
        <v>526</v>
      </c>
    </row>
    <row r="18" spans="2:255" ht="18" customHeight="1" thickBot="1" x14ac:dyDescent="0.3">
      <c r="B18" s="8" t="s">
        <v>60</v>
      </c>
      <c r="C18" s="460">
        <f>'Calculator (for experts)'!E17</f>
        <v>2.9</v>
      </c>
      <c r="D18" s="38"/>
      <c r="E18" s="75"/>
      <c r="F18" s="76"/>
      <c r="G18" s="69" t="s">
        <v>62</v>
      </c>
      <c r="I18" s="32"/>
      <c r="J18" s="51" t="s">
        <v>63</v>
      </c>
      <c r="K18" s="459">
        <f>IF(G32&lt;30,30,IF(G32&gt;75,75,G32))</f>
        <v>51.364799999999995</v>
      </c>
      <c r="L18" s="26"/>
      <c r="N18" s="1" t="s">
        <v>435</v>
      </c>
      <c r="O18" s="63">
        <f>O17*0.2</f>
        <v>0.46399999999999997</v>
      </c>
      <c r="P18" s="63"/>
      <c r="Q18" s="63">
        <f>Q17*0.22</f>
        <v>0.31900000000000001</v>
      </c>
      <c r="R18" s="63">
        <f>R17*0.22</f>
        <v>0.41470000000000001</v>
      </c>
    </row>
    <row r="19" spans="2:255" ht="18" customHeight="1" x14ac:dyDescent="0.25">
      <c r="B19" s="8" t="s">
        <v>65</v>
      </c>
      <c r="C19" s="9">
        <f>'Calculator (for experts)'!E27</f>
        <v>100</v>
      </c>
      <c r="D19" s="38"/>
      <c r="E19" s="75"/>
      <c r="F19" s="77"/>
      <c r="G19" s="74">
        <f>ROUND(ROUND(IF(F15&lt;0.8,IF(F6="F",1.5,1.1),IF(F15&gt;1.8,0.6,IF(F6="F",3.0306*EXP(-0.917*F15),(-0.5*F15)+1.5))),2)*(1-((POWER((EXP(-(EXP((IF(F6="M",-22.1,-29.8)))*(POWER(F5-10,IF(F6="M",4.71,6.36)))))),EXP((0.24*(F14-6))+(0.018*(F7-120))+(0.71*(IF(F11="N",0,1))))))/(POWER((EXP(-(EXP((IF(F6="M",-22.1,-29.8)))*(POWER(F5-20,IF(F6="M",4.71,6.36)))))),EXP((0.24*(F14-6))+(0.018*(F7-120))+(0.71*(IF(F11="N",0,1))))))))*100,2)+ROUND(ROUND(IF(F15&lt;0.8,IF(F6="F",1.5,1.1),IF(F15&gt;1.8,0.6,IF(F6="F",3.0306*EXP(-0.917*F15),(-0.5*F15)+1.5))),2)*(1-((POWER((EXP(-(EXP((IF(F6="M",-26.7,-31)))*(POWER(F5-10,IF(F6="M",5.64,6.62)))))),EXP((0.02*(F14-6))+(0.022*(F7-120))+(0.63*(IF(F11="N",0,1))))))/(POWER((EXP(-(EXP((IF(F6="M",-26.7,-31)))*(POWER(F5-20,IF(F6="M",5.64,6.62)))))),EXP((0.02*(F14-6))+(0.022*(F7-120))+(0.63*(IF(F11="N",0,1))))))))*100,2)</f>
        <v>5.92</v>
      </c>
      <c r="I19" s="32"/>
      <c r="J19" s="51" t="s">
        <v>51</v>
      </c>
      <c r="K19" s="78">
        <f>C18</f>
        <v>2.9</v>
      </c>
      <c r="L19" s="26"/>
      <c r="N19" s="1" t="s">
        <v>164</v>
      </c>
      <c r="O19" s="63">
        <f>O15-(O15*O18)</f>
        <v>40.816776278733229</v>
      </c>
      <c r="P19" s="63"/>
      <c r="Q19" s="63">
        <f>Q15-(Q15*Q18)</f>
        <v>51.858628070554715</v>
      </c>
      <c r="R19" s="563">
        <f>R15-(R15*R18)</f>
        <v>44.571005887952538</v>
      </c>
    </row>
    <row r="20" spans="2:255" ht="18" customHeight="1" x14ac:dyDescent="0.25">
      <c r="B20" s="43" t="s">
        <v>71</v>
      </c>
      <c r="C20" s="66">
        <v>3.7</v>
      </c>
      <c r="D20" s="38"/>
      <c r="E20" s="75"/>
      <c r="F20" s="81"/>
      <c r="G20" s="82">
        <f>Q19</f>
        <v>51.858628070554715</v>
      </c>
      <c r="I20" s="83" t="s">
        <v>73</v>
      </c>
      <c r="J20" s="84" t="s">
        <v>1</v>
      </c>
      <c r="K20" s="85">
        <f>2*(1-POWER(0.914,EXP((-0.0478*K4)+(0.000515*(K4^2))+IF(K5="F",0,0.3147)+IF(K11="N",0,0.4097)+IF(K12="N",0,0.2263)+IF(K13="N",0,0.4694)+IF(K14="N",0,0.6172)+IF(K10="N",0,0.4318)+IF(K6="N",0,0.5379)+(0.00419*(K17*38.66))-(0.013*(K16*38.66))-(0.0605*K18)+(0.000419*(K18^2))+(0.00371*K7)+IF(K8="N",0,K7*0.00254)+1.5106)))</f>
        <v>0.76341710471792501</v>
      </c>
      <c r="L20" s="86">
        <f>(K20*0.6)*0.7</f>
        <v>0.32063518398152846</v>
      </c>
      <c r="N20" s="1" t="s">
        <v>67</v>
      </c>
      <c r="O20" s="63">
        <f>100/(O15-O19)</f>
        <v>2.8301412289509575</v>
      </c>
      <c r="P20" s="63"/>
      <c r="Q20" s="63">
        <f>100/(Q15-Q19)</f>
        <v>4.1165690602923011</v>
      </c>
      <c r="R20" s="63">
        <f>100/(R15-R19)</f>
        <v>3.1665915848402322</v>
      </c>
    </row>
    <row r="21" spans="2:255" ht="18" customHeight="1" x14ac:dyDescent="0.25">
      <c r="B21" s="8" t="s">
        <v>74</v>
      </c>
      <c r="C21" s="19">
        <v>68</v>
      </c>
      <c r="D21" s="87" t="s">
        <v>1</v>
      </c>
      <c r="E21" s="88"/>
      <c r="F21" s="68"/>
      <c r="G21" s="89" t="s">
        <v>1</v>
      </c>
      <c r="I21" s="23" t="s">
        <v>61</v>
      </c>
      <c r="J21" s="90"/>
      <c r="K21" s="91">
        <f>O92</f>
        <v>-67663.655046867862</v>
      </c>
      <c r="L21" s="26"/>
      <c r="N21" s="1" t="s">
        <v>165</v>
      </c>
      <c r="O21" s="63">
        <f>O16-O17</f>
        <v>0.58000000000000007</v>
      </c>
      <c r="P21" s="63"/>
      <c r="Q21" s="63">
        <f>Q16-Q17</f>
        <v>1.45</v>
      </c>
      <c r="R21" s="63">
        <f>R16-R17</f>
        <v>1.0149999999999999</v>
      </c>
    </row>
    <row r="22" spans="2:255" ht="18" customHeight="1" thickBot="1" x14ac:dyDescent="0.3">
      <c r="B22" s="37" t="s">
        <v>76</v>
      </c>
      <c r="C22" s="92">
        <v>78</v>
      </c>
      <c r="D22" s="20" t="s">
        <v>1</v>
      </c>
      <c r="E22" s="93"/>
      <c r="F22" s="94" t="s">
        <v>68</v>
      </c>
      <c r="G22" s="95">
        <f>'Calculator (for experts)'!E10</f>
        <v>68</v>
      </c>
      <c r="I22" s="32" t="s">
        <v>66</v>
      </c>
      <c r="J22" s="96"/>
      <c r="K22" s="97">
        <f>P92</f>
        <v>75260.23887256108</v>
      </c>
      <c r="L22" s="26"/>
      <c r="N22" s="1" t="s">
        <v>434</v>
      </c>
      <c r="O22" s="63">
        <f>O19-(O19*0.24)</f>
        <v>31.020749971837255</v>
      </c>
      <c r="P22" s="63"/>
      <c r="Q22" s="63">
        <f>Q19-(Q19*0.24)</f>
        <v>39.412557333621585</v>
      </c>
      <c r="R22" s="565">
        <f>R19-(R19*0.24)</f>
        <v>33.87396447484393</v>
      </c>
    </row>
    <row r="23" spans="2:255" ht="18" customHeight="1" thickBot="1" x14ac:dyDescent="0.3">
      <c r="B23" s="37" t="s">
        <v>78</v>
      </c>
      <c r="C23" s="92" t="s">
        <v>1</v>
      </c>
      <c r="D23" s="98"/>
      <c r="E23" s="67"/>
      <c r="F23" s="68"/>
      <c r="G23" s="99"/>
      <c r="I23" s="32" t="s">
        <v>69</v>
      </c>
      <c r="J23" s="96"/>
      <c r="K23" s="97">
        <f>Q92</f>
        <v>-143723.04499726911</v>
      </c>
      <c r="L23" s="26"/>
      <c r="N23" s="1" t="s">
        <v>441</v>
      </c>
      <c r="O23" s="63">
        <f>O4-(O4*0.24)</f>
        <v>57.874533529547115</v>
      </c>
      <c r="P23" s="63" t="s">
        <v>1</v>
      </c>
      <c r="Q23" s="63">
        <f>O4-(O4*0.24)</f>
        <v>57.874533529547115</v>
      </c>
      <c r="R23" s="564">
        <f>O4-(O4*0.24)</f>
        <v>57.874533529547115</v>
      </c>
    </row>
    <row r="24" spans="2:255" ht="18" customHeight="1" thickBot="1" x14ac:dyDescent="0.3">
      <c r="B24" s="37" t="s">
        <v>80</v>
      </c>
      <c r="C24" s="100">
        <f>C6/(C5/100)^2</f>
        <v>20.069204152249139</v>
      </c>
      <c r="D24" s="101" t="s">
        <v>81</v>
      </c>
      <c r="E24" s="102"/>
      <c r="F24" s="103"/>
      <c r="G24" s="104">
        <f>(IFERROR(100*IF(F6="M",(1-POWER(0.88936,EXP((3.06117*LN(G22)+1.1237*LN(F14*38.66)-0.93263*LN(F13*38.66)+(IF(F8="N",1.93303*LN(F7),1.99881*LN(F7)))+(IF(F11="N",0,0.65451))+(IF(F10="N",0,0.57367)))-23.9802))),(1-POWER(0.95012,EXP((2.32888*LN(G22)+1.20904*LN(F14*38.66)-0.70833*LN(F13*38.66)+(IF(F8="N",2.76157*LN(F7),2.82263*LN(F7)))+(IF(F11="N",0,0.52873))+(IF(F10="N",0,0.69154)))-26.1931)))),""))*'Calculator (for experts)'!R22</f>
        <v>76.150702012561993</v>
      </c>
      <c r="I24" s="105" t="s">
        <v>72</v>
      </c>
      <c r="J24" s="106"/>
      <c r="K24" s="107">
        <f>R92</f>
        <v>-133573.67873222052</v>
      </c>
      <c r="L24" s="108"/>
      <c r="N24" s="1" t="s">
        <v>439</v>
      </c>
      <c r="O24" s="63">
        <f>O16-O17</f>
        <v>0.58000000000000007</v>
      </c>
      <c r="P24" s="63"/>
      <c r="Q24" s="63">
        <f>Q16-Q17</f>
        <v>1.45</v>
      </c>
      <c r="R24" s="63">
        <f>R16-R17</f>
        <v>1.0149999999999999</v>
      </c>
    </row>
    <row r="25" spans="2:255" ht="42.75" customHeight="1" thickBot="1" x14ac:dyDescent="0.25">
      <c r="B25" s="109" t="s">
        <v>83</v>
      </c>
      <c r="D25" s="809" t="s">
        <v>84</v>
      </c>
      <c r="E25" s="810"/>
      <c r="F25" s="810"/>
      <c r="G25" s="811"/>
      <c r="H25" s="110"/>
      <c r="I25" s="1" t="s">
        <v>85</v>
      </c>
      <c r="J25" s="1">
        <v>2.6</v>
      </c>
      <c r="K25" s="1">
        <f>F17*J25</f>
        <v>197.9918252326612</v>
      </c>
      <c r="L25" s="111">
        <f>IF(C3="M",1.23,1.04)</f>
        <v>1.23</v>
      </c>
      <c r="N25" s="1" t="s">
        <v>1</v>
      </c>
      <c r="O25" s="60"/>
      <c r="P25" s="60"/>
      <c r="Q25" s="60"/>
      <c r="R25" s="61"/>
    </row>
    <row r="26" spans="2:255" ht="18" customHeight="1" x14ac:dyDescent="0.25">
      <c r="B26" s="111" t="s">
        <v>90</v>
      </c>
      <c r="C26" s="112">
        <f>'Calculator (for experts)'!O5</f>
        <v>76.150702012561993</v>
      </c>
      <c r="D26" s="812" t="s">
        <v>91</v>
      </c>
      <c r="E26" s="813"/>
      <c r="F26" s="813"/>
      <c r="G26" s="113">
        <f>C21*C22/1000</f>
        <v>5.3040000000000003</v>
      </c>
      <c r="H26" s="114"/>
      <c r="I26" s="1" t="s">
        <v>92</v>
      </c>
      <c r="J26" s="1">
        <v>3</v>
      </c>
      <c r="K26" s="1">
        <f>F17*J26</f>
        <v>228.45210603768598</v>
      </c>
      <c r="L26" s="115"/>
      <c r="N26" s="59" t="s">
        <v>444</v>
      </c>
      <c r="O26" s="63">
        <f>K20*100</f>
        <v>76.341710471792496</v>
      </c>
      <c r="P26" s="57"/>
      <c r="Q26" s="57"/>
      <c r="R26" s="116"/>
      <c r="S26" s="57"/>
      <c r="T26" s="57"/>
      <c r="U26" s="57"/>
      <c r="V26" s="57"/>
      <c r="W26" s="57"/>
      <c r="X26" s="57"/>
      <c r="Y26" s="59"/>
      <c r="Z26" s="57"/>
      <c r="AA26" s="57"/>
      <c r="AB26" s="57"/>
      <c r="AC26" s="57"/>
      <c r="AD26" s="59"/>
      <c r="AE26" s="57"/>
      <c r="AF26" s="57"/>
      <c r="AG26" s="57"/>
      <c r="AH26" s="57"/>
      <c r="AI26" s="59"/>
      <c r="AJ26" s="57"/>
      <c r="AK26" s="57"/>
      <c r="AL26" s="57"/>
      <c r="AM26" s="57"/>
      <c r="AN26" s="59"/>
      <c r="AO26" s="57"/>
      <c r="AP26" s="57"/>
      <c r="AQ26" s="57"/>
      <c r="AR26" s="57"/>
      <c r="AS26" s="59"/>
      <c r="AT26" s="57"/>
      <c r="AU26" s="57"/>
      <c r="AV26" s="57"/>
      <c r="AW26" s="57"/>
      <c r="AX26" s="59"/>
      <c r="AY26" s="57"/>
      <c r="AZ26" s="57"/>
      <c r="BA26" s="57"/>
      <c r="BB26" s="57"/>
      <c r="BC26" s="59"/>
      <c r="BD26" s="57"/>
      <c r="BE26" s="57"/>
      <c r="BF26" s="57"/>
      <c r="BG26" s="57"/>
      <c r="BH26" s="59"/>
      <c r="BI26" s="57"/>
      <c r="BJ26" s="57"/>
      <c r="BK26" s="57"/>
      <c r="BL26" s="57"/>
      <c r="BM26" s="59"/>
      <c r="BN26" s="57"/>
      <c r="BO26" s="57"/>
      <c r="BP26" s="57"/>
      <c r="BQ26" s="57"/>
      <c r="BR26" s="59"/>
      <c r="BS26" s="57"/>
      <c r="BT26" s="57"/>
      <c r="BU26" s="57"/>
      <c r="BV26" s="57"/>
      <c r="BW26" s="59"/>
      <c r="BX26" s="57"/>
      <c r="BY26" s="57"/>
      <c r="BZ26" s="57"/>
      <c r="CA26" s="57"/>
      <c r="CB26" s="59"/>
      <c r="CC26" s="57"/>
      <c r="CD26" s="57"/>
      <c r="CE26" s="57"/>
      <c r="CF26" s="57"/>
      <c r="CG26" s="59"/>
      <c r="CH26" s="57"/>
      <c r="CI26" s="57"/>
      <c r="CJ26" s="57"/>
      <c r="CK26" s="57"/>
      <c r="CL26" s="59"/>
      <c r="CM26" s="57"/>
      <c r="CN26" s="57"/>
      <c r="CO26" s="57"/>
      <c r="CP26" s="57"/>
      <c r="CQ26" s="59"/>
      <c r="CR26" s="57"/>
      <c r="CS26" s="57"/>
      <c r="CT26" s="57"/>
      <c r="CU26" s="57"/>
      <c r="CV26" s="59"/>
      <c r="CW26" s="57"/>
      <c r="CX26" s="57"/>
      <c r="CY26" s="57"/>
      <c r="CZ26" s="57"/>
      <c r="DA26" s="59"/>
      <c r="DB26" s="57"/>
      <c r="DC26" s="57"/>
      <c r="DD26" s="57"/>
      <c r="DE26" s="57"/>
      <c r="DF26" s="59"/>
      <c r="DG26" s="57"/>
      <c r="DH26" s="57"/>
      <c r="DI26" s="57"/>
      <c r="DJ26" s="57"/>
      <c r="DK26" s="59"/>
      <c r="DL26" s="57"/>
      <c r="DM26" s="57"/>
      <c r="DN26" s="57"/>
      <c r="DO26" s="57"/>
      <c r="DP26" s="59"/>
      <c r="DQ26" s="57"/>
      <c r="DR26" s="57"/>
      <c r="DS26" s="57"/>
      <c r="DT26" s="57"/>
      <c r="DU26" s="59"/>
      <c r="DV26" s="57"/>
      <c r="DW26" s="57"/>
      <c r="DX26" s="57"/>
      <c r="DY26" s="57"/>
      <c r="DZ26" s="59"/>
      <c r="EA26" s="57"/>
      <c r="EB26" s="57"/>
      <c r="EC26" s="57"/>
      <c r="ED26" s="57"/>
      <c r="EE26" s="59"/>
      <c r="EF26" s="57"/>
      <c r="EG26" s="57"/>
      <c r="EH26" s="57"/>
      <c r="EI26" s="57"/>
      <c r="EJ26" s="59"/>
      <c r="EK26" s="57"/>
      <c r="EL26" s="57"/>
      <c r="EM26" s="57"/>
      <c r="EN26" s="57"/>
      <c r="EO26" s="59"/>
      <c r="EP26" s="57"/>
      <c r="EQ26" s="57"/>
      <c r="ER26" s="57"/>
      <c r="ES26" s="57"/>
      <c r="ET26" s="59"/>
      <c r="EU26" s="57"/>
      <c r="EV26" s="57"/>
      <c r="EW26" s="57"/>
      <c r="EX26" s="57"/>
      <c r="EY26" s="59"/>
      <c r="EZ26" s="57"/>
      <c r="FA26" s="57"/>
      <c r="FB26" s="57"/>
      <c r="FC26" s="57"/>
      <c r="FD26" s="59"/>
      <c r="FE26" s="57"/>
      <c r="FF26" s="57"/>
      <c r="FG26" s="57"/>
      <c r="FH26" s="57"/>
      <c r="FI26" s="59"/>
      <c r="FJ26" s="57"/>
      <c r="FK26" s="57"/>
      <c r="FL26" s="57"/>
      <c r="FM26" s="57"/>
      <c r="FN26" s="59"/>
      <c r="FO26" s="57"/>
      <c r="FP26" s="57"/>
      <c r="FQ26" s="57"/>
      <c r="FR26" s="57"/>
      <c r="FS26" s="59"/>
      <c r="FT26" s="57"/>
      <c r="FU26" s="57"/>
      <c r="FV26" s="57"/>
      <c r="FW26" s="57"/>
      <c r="FX26" s="59"/>
      <c r="FY26" s="57"/>
      <c r="FZ26" s="57"/>
      <c r="GA26" s="57"/>
      <c r="GB26" s="57"/>
      <c r="GC26" s="59"/>
      <c r="GD26" s="57"/>
      <c r="GE26" s="57"/>
      <c r="GF26" s="57"/>
      <c r="GG26" s="57"/>
      <c r="GH26" s="59"/>
      <c r="GI26" s="57"/>
      <c r="GJ26" s="57"/>
      <c r="GK26" s="57"/>
      <c r="GL26" s="57"/>
      <c r="GM26" s="59"/>
      <c r="GN26" s="57"/>
      <c r="GO26" s="57"/>
      <c r="GP26" s="57"/>
      <c r="GQ26" s="57"/>
      <c r="GR26" s="59"/>
      <c r="GS26" s="57"/>
      <c r="GT26" s="57"/>
      <c r="GU26" s="57"/>
      <c r="GV26" s="57"/>
      <c r="GW26" s="59"/>
      <c r="GX26" s="57"/>
      <c r="GY26" s="57"/>
      <c r="GZ26" s="57"/>
      <c r="HA26" s="57"/>
      <c r="HB26" s="59"/>
      <c r="HC26" s="57"/>
      <c r="HD26" s="57"/>
      <c r="HE26" s="57"/>
      <c r="HF26" s="57"/>
      <c r="HG26" s="59"/>
      <c r="HH26" s="57"/>
      <c r="HI26" s="57"/>
      <c r="HJ26" s="57"/>
      <c r="HK26" s="57"/>
      <c r="HL26" s="59"/>
      <c r="HM26" s="57"/>
      <c r="HN26" s="57"/>
      <c r="HO26" s="57"/>
      <c r="HP26" s="57"/>
      <c r="HQ26" s="59"/>
      <c r="HR26" s="57"/>
      <c r="HS26" s="57"/>
      <c r="HT26" s="57"/>
      <c r="HU26" s="57"/>
      <c r="HV26" s="59"/>
      <c r="HW26" s="57"/>
      <c r="HX26" s="57"/>
      <c r="HY26" s="57"/>
      <c r="HZ26" s="57"/>
      <c r="IA26" s="59"/>
      <c r="IB26" s="57"/>
      <c r="IC26" s="57"/>
      <c r="ID26" s="57"/>
      <c r="IE26" s="57"/>
      <c r="IF26" s="59"/>
      <c r="IG26" s="57"/>
      <c r="IH26" s="57"/>
      <c r="II26" s="57"/>
      <c r="IJ26" s="57"/>
      <c r="IK26" s="59"/>
      <c r="IL26" s="57"/>
      <c r="IM26" s="57"/>
      <c r="IN26" s="57"/>
      <c r="IO26" s="57"/>
      <c r="IP26" s="59"/>
      <c r="IQ26" s="57"/>
      <c r="IR26" s="57"/>
      <c r="IS26" s="57"/>
      <c r="IT26" s="57"/>
      <c r="IU26" s="59"/>
    </row>
    <row r="27" spans="2:255" ht="18" customHeight="1" x14ac:dyDescent="0.25">
      <c r="B27" s="111" t="s">
        <v>94</v>
      </c>
      <c r="C27" s="117">
        <f>C26*0.1</f>
        <v>7.6150702012561995</v>
      </c>
      <c r="D27" s="804" t="s">
        <v>95</v>
      </c>
      <c r="E27" s="805"/>
      <c r="F27" s="805"/>
      <c r="G27" s="118">
        <f>(C6^0.425*C5^0.725*71.84)/10000</f>
        <v>1.6707008321421861</v>
      </c>
      <c r="H27" s="110"/>
      <c r="N27" s="59" t="s">
        <v>163</v>
      </c>
      <c r="O27" s="63">
        <f>'Calculator (for experts)'!E17</f>
        <v>2.9</v>
      </c>
      <c r="P27" s="119"/>
      <c r="Q27" s="119"/>
      <c r="R27" s="120"/>
    </row>
    <row r="28" spans="2:255" ht="18" customHeight="1" x14ac:dyDescent="0.25">
      <c r="B28" s="111" t="s">
        <v>97</v>
      </c>
      <c r="C28" s="117">
        <f>100/C27</f>
        <v>13.131855302332442</v>
      </c>
      <c r="D28" s="804" t="s">
        <v>98</v>
      </c>
      <c r="E28" s="805"/>
      <c r="F28" s="805" t="s">
        <v>99</v>
      </c>
      <c r="G28" s="118">
        <v>-2.5662845795711448E-2</v>
      </c>
      <c r="H28" s="110"/>
      <c r="I28" s="121" t="s">
        <v>100</v>
      </c>
      <c r="J28" s="121"/>
      <c r="L28" s="122"/>
      <c r="N28" s="59" t="s">
        <v>445</v>
      </c>
      <c r="O28" s="63">
        <f>O27*0.65</f>
        <v>1.885</v>
      </c>
      <c r="R28" s="4"/>
    </row>
    <row r="29" spans="2:255" s="123" customFormat="1" ht="18" customHeight="1" x14ac:dyDescent="0.25">
      <c r="B29" s="111" t="s">
        <v>101</v>
      </c>
      <c r="C29" s="111">
        <v>105</v>
      </c>
      <c r="D29" s="804" t="s">
        <v>102</v>
      </c>
      <c r="E29" s="805"/>
      <c r="F29" s="805"/>
      <c r="G29" s="118">
        <v>49</v>
      </c>
      <c r="I29" s="121" t="s">
        <v>103</v>
      </c>
      <c r="J29" s="121">
        <v>16</v>
      </c>
      <c r="M29" s="1"/>
      <c r="N29" s="59" t="s">
        <v>447</v>
      </c>
      <c r="O29" s="63">
        <f>O28*0.22</f>
        <v>0.41470000000000001</v>
      </c>
      <c r="P29" s="124"/>
      <c r="Q29" s="125"/>
      <c r="R29" s="124"/>
    </row>
    <row r="30" spans="2:255" s="123" customFormat="1" ht="18" customHeight="1" x14ac:dyDescent="0.25">
      <c r="B30" s="111" t="s">
        <v>105</v>
      </c>
      <c r="C30" s="126">
        <f>100/C29</f>
        <v>0.95238095238095233</v>
      </c>
      <c r="D30" s="804" t="s">
        <v>106</v>
      </c>
      <c r="E30" s="805"/>
      <c r="F30" s="805"/>
      <c r="G30" s="118">
        <v>3.7069289683648421</v>
      </c>
      <c r="I30" s="121" t="s">
        <v>107</v>
      </c>
      <c r="J30" s="121">
        <v>50</v>
      </c>
      <c r="K30" s="111"/>
      <c r="L30" s="111"/>
      <c r="M30" s="1"/>
      <c r="N30" s="59" t="s">
        <v>448</v>
      </c>
      <c r="O30" s="563">
        <f>O26-(O26*O29)</f>
        <v>44.682803139140148</v>
      </c>
      <c r="P30" s="124"/>
      <c r="Q30" s="124"/>
      <c r="R30" s="124"/>
    </row>
    <row r="31" spans="2:255" s="123" customFormat="1" ht="18" customHeight="1" x14ac:dyDescent="0.25">
      <c r="B31" s="111" t="s">
        <v>108</v>
      </c>
      <c r="C31" s="126">
        <f>C27-C30</f>
        <v>6.6626892488752469</v>
      </c>
      <c r="D31" s="804" t="s">
        <v>109</v>
      </c>
      <c r="E31" s="805"/>
      <c r="F31" s="805"/>
      <c r="G31" s="118">
        <f>(C20*B40-B41)/5</f>
        <v>-0.1377040000000001</v>
      </c>
      <c r="I31" s="121" t="s">
        <v>110</v>
      </c>
      <c r="J31" s="121">
        <v>105</v>
      </c>
      <c r="K31" s="111"/>
      <c r="L31" s="111"/>
      <c r="M31" s="1"/>
      <c r="N31" s="59" t="s">
        <v>449</v>
      </c>
      <c r="O31" s="63">
        <f>100/(O26-O30)</f>
        <v>3.1586687104915354</v>
      </c>
      <c r="P31" s="124"/>
      <c r="Q31" s="124"/>
      <c r="R31" s="124"/>
    </row>
    <row r="32" spans="2:255" s="123" customFormat="1" ht="18" customHeight="1" x14ac:dyDescent="0.25">
      <c r="B32" s="111" t="s">
        <v>111</v>
      </c>
      <c r="C32" s="127">
        <f>100/C31</f>
        <v>15.008954532418178</v>
      </c>
      <c r="D32" s="804" t="s">
        <v>112</v>
      </c>
      <c r="E32" s="805"/>
      <c r="F32" s="805"/>
      <c r="G32" s="494">
        <f>((140-C4)*C6*L25)/C19</f>
        <v>51.364799999999995</v>
      </c>
      <c r="I32" s="121" t="s">
        <v>113</v>
      </c>
      <c r="J32" s="121">
        <v>130</v>
      </c>
      <c r="K32" s="111"/>
      <c r="L32" s="111"/>
      <c r="M32" s="1"/>
      <c r="N32" s="59" t="s">
        <v>450</v>
      </c>
      <c r="O32" s="63">
        <f>O27-O28</f>
        <v>1.0149999999999999</v>
      </c>
      <c r="P32" s="124"/>
      <c r="Q32" s="124"/>
      <c r="R32" s="124"/>
    </row>
    <row r="33" spans="2:18" s="123" customFormat="1" ht="18" customHeight="1" x14ac:dyDescent="0.25">
      <c r="B33" s="1"/>
      <c r="C33" s="1"/>
      <c r="D33" s="804" t="s">
        <v>114</v>
      </c>
      <c r="E33" s="805"/>
      <c r="F33" s="805"/>
      <c r="G33" s="128">
        <f>IF(C3="M",((((C6^0.425*C5^0.725*71.84)/10000)*136.141)+6.77)-((((C6^0.425*C5^0.725*71.84)/10000)*0.916)*C4),((((C6^0.425*C5^0.725*71.84)/10000)*86.641)+3.933)-((((C6^0.425*C5^0.725*71.84)/10000)*0.346)*C4))</f>
        <v>130.15626855619686</v>
      </c>
      <c r="I33" s="121" t="s">
        <v>115</v>
      </c>
      <c r="J33" s="121">
        <f>(J29/J30)/(J31/J32)</f>
        <v>0.3961904761904762</v>
      </c>
      <c r="K33" s="111"/>
      <c r="L33" s="111"/>
      <c r="N33" s="59" t="s">
        <v>451</v>
      </c>
      <c r="O33" s="564">
        <f>O26-(O26*0.24)</f>
        <v>58.019699958562299</v>
      </c>
      <c r="P33" s="124"/>
      <c r="Q33" s="124"/>
      <c r="R33" s="124"/>
    </row>
    <row r="34" spans="2:18" s="123" customFormat="1" ht="18" customHeight="1" x14ac:dyDescent="0.25">
      <c r="B34" s="1"/>
      <c r="C34" s="1"/>
      <c r="D34" s="804" t="s">
        <v>116</v>
      </c>
      <c r="E34" s="805"/>
      <c r="F34" s="805"/>
      <c r="G34" s="128">
        <f>IF(C3="M",ROUND((((((C6^0.425*C5^0.725*71.84)/10000)*136.141)+6.77)-C7)/((((C6^0.425*C5^0.725*71.84)/10000)*0.916)),0),ROUND((((((C6^0.425*C5^0.725*71.84)/10000)*86.641)+3.933)-C7)/((((C6^0.425*C5^0.725*71.84)/10000)*0.346)),0))</f>
        <v>72</v>
      </c>
      <c r="I34" s="121" t="s">
        <v>117</v>
      </c>
      <c r="J34" s="121" t="s">
        <v>118</v>
      </c>
      <c r="K34" s="111"/>
      <c r="L34" s="111"/>
      <c r="N34" s="59" t="s">
        <v>452</v>
      </c>
      <c r="O34" s="565">
        <f>O30-(O30*0.24)</f>
        <v>33.958930385746513</v>
      </c>
      <c r="P34" s="124"/>
      <c r="Q34" s="124"/>
      <c r="R34" s="124"/>
    </row>
    <row r="35" spans="2:18" s="123" customFormat="1" ht="18" customHeight="1" x14ac:dyDescent="0.25">
      <c r="B35" s="111" t="s">
        <v>119</v>
      </c>
      <c r="C35" s="1"/>
      <c r="D35" s="129"/>
      <c r="E35" s="130"/>
      <c r="F35" s="130" t="s">
        <v>120</v>
      </c>
      <c r="G35" s="128">
        <f>G34-C4</f>
        <v>4</v>
      </c>
      <c r="I35" s="121" t="s">
        <v>121</v>
      </c>
      <c r="J35" s="121" t="s">
        <v>122</v>
      </c>
      <c r="K35" s="111"/>
      <c r="L35" s="111"/>
      <c r="O35" s="124"/>
      <c r="P35" s="124"/>
      <c r="Q35" s="124"/>
      <c r="R35" s="124"/>
    </row>
    <row r="36" spans="2:18" s="123" customFormat="1" ht="18.75" thickBot="1" x14ac:dyDescent="0.25">
      <c r="B36" s="131" t="s">
        <v>123</v>
      </c>
      <c r="C36" s="1"/>
      <c r="D36" s="817" t="s">
        <v>124</v>
      </c>
      <c r="E36" s="818"/>
      <c r="F36" s="818"/>
      <c r="G36" s="132" t="str">
        <f>IFERROR(100*IF(F6="M",(1-POWER(0.88936,EXP((3.06117*LN(D43)+1.1237*LN(D46*38.66)-0.93263*LN(D47*38.66)+(IF(D45="N",1.93303*LN(D44),1.99881*LN(F7)))+(IF(F11="N",0,0.65451))+(IF(D45="N",0,0.57367)))-23.9802))),(1-POWER(0.95012,EXP((2.32888*LN(G22)+1.20904*LN(F14*38.66)-0.70833*LN(F13*38.66)+(IF(F8="N",2.76157*LN(F7),2.82263*LN(F7)))+(IF(F11="N",0,0.52873))+(IF(F10="N",0,0.69154)))-26.1931)))),"")</f>
        <v/>
      </c>
      <c r="I36" s="121" t="s">
        <v>125</v>
      </c>
      <c r="J36" s="121" t="s">
        <v>126</v>
      </c>
      <c r="K36" s="111"/>
      <c r="L36" s="111"/>
      <c r="O36" s="124"/>
      <c r="P36" s="124"/>
      <c r="Q36" s="124"/>
      <c r="R36" s="124"/>
    </row>
    <row r="37" spans="2:18" s="123" customFormat="1" ht="13.5" thickBot="1" x14ac:dyDescent="0.3">
      <c r="D37" s="110"/>
      <c r="E37" s="110"/>
      <c r="F37" s="133"/>
      <c r="G37" s="110"/>
      <c r="I37" s="1" t="s">
        <v>127</v>
      </c>
      <c r="K37" s="1" t="s">
        <v>128</v>
      </c>
      <c r="L37" s="111"/>
      <c r="O37" s="124"/>
      <c r="P37" s="124"/>
      <c r="Q37" s="124"/>
      <c r="R37" s="124"/>
    </row>
    <row r="38" spans="2:18" s="123" customFormat="1" ht="87" customHeight="1" thickBot="1" x14ac:dyDescent="0.3">
      <c r="D38" s="110"/>
      <c r="E38" s="814" t="s">
        <v>347</v>
      </c>
      <c r="F38" s="815"/>
      <c r="G38" s="815"/>
      <c r="H38" s="816"/>
      <c r="K38" s="111"/>
      <c r="L38" s="111"/>
      <c r="O38" s="124"/>
      <c r="P38" s="124"/>
      <c r="Q38" s="124"/>
      <c r="R38" s="124"/>
    </row>
    <row r="39" spans="2:18" s="123" customFormat="1" x14ac:dyDescent="0.25">
      <c r="G39" s="134"/>
      <c r="K39" s="111"/>
      <c r="L39" s="111"/>
      <c r="O39" s="124"/>
      <c r="P39" s="124"/>
      <c r="Q39" s="124"/>
      <c r="R39" s="124"/>
    </row>
    <row r="40" spans="2:18" s="123" customFormat="1" x14ac:dyDescent="0.25">
      <c r="B40" s="135">
        <v>5.8803999999999998</v>
      </c>
      <c r="C40" s="135"/>
      <c r="G40" s="134"/>
      <c r="I40" s="111"/>
      <c r="J40" s="111"/>
      <c r="K40" s="111"/>
      <c r="L40" s="111"/>
      <c r="O40" s="124"/>
      <c r="P40" s="124"/>
      <c r="Q40" s="124"/>
      <c r="R40" s="124"/>
    </row>
    <row r="41" spans="2:18" s="123" customFormat="1" x14ac:dyDescent="0.25">
      <c r="B41" s="135">
        <v>22.446000000000002</v>
      </c>
      <c r="C41" s="135"/>
      <c r="D41" s="134"/>
      <c r="E41" s="134"/>
      <c r="F41" s="4" t="s">
        <v>310</v>
      </c>
      <c r="G41" s="134"/>
      <c r="I41" s="111"/>
      <c r="J41" s="111"/>
      <c r="K41" s="111"/>
      <c r="L41" s="111"/>
      <c r="O41" s="124"/>
      <c r="P41" s="124"/>
      <c r="Q41" s="124"/>
      <c r="R41" s="124"/>
    </row>
    <row r="42" spans="2:18" s="123" customFormat="1" x14ac:dyDescent="0.25">
      <c r="B42" s="135"/>
      <c r="C42" s="135"/>
      <c r="D42" s="134"/>
      <c r="E42" s="134"/>
      <c r="F42" s="4"/>
      <c r="G42" s="134"/>
      <c r="I42" s="111"/>
      <c r="J42" s="111"/>
      <c r="K42" s="111"/>
      <c r="L42" s="111"/>
      <c r="O42" s="124"/>
      <c r="P42" s="124"/>
      <c r="Q42" s="124"/>
      <c r="R42" s="124"/>
    </row>
    <row r="43" spans="2:18" s="123" customFormat="1" x14ac:dyDescent="0.25">
      <c r="B43" s="135"/>
      <c r="C43" s="135"/>
      <c r="D43" s="134"/>
      <c r="E43" s="134"/>
      <c r="F43" s="4"/>
      <c r="G43" s="134"/>
      <c r="I43" s="111"/>
      <c r="K43" s="111"/>
      <c r="L43" s="111"/>
      <c r="O43" s="124"/>
      <c r="P43" s="124"/>
      <c r="Q43" s="124"/>
      <c r="R43" s="124"/>
    </row>
    <row r="44" spans="2:18" s="123" customFormat="1" x14ac:dyDescent="0.25">
      <c r="B44" s="135"/>
      <c r="C44" s="136" t="s">
        <v>129</v>
      </c>
      <c r="D44" s="134"/>
      <c r="E44" s="134"/>
      <c r="F44" s="4"/>
      <c r="G44" s="134"/>
      <c r="I44" s="111"/>
      <c r="J44" s="111"/>
      <c r="K44" s="111"/>
      <c r="L44" s="111"/>
      <c r="O44" s="124"/>
      <c r="P44" s="124"/>
      <c r="Q44" s="124"/>
      <c r="R44" s="124"/>
    </row>
    <row r="45" spans="2:18" s="123" customFormat="1" x14ac:dyDescent="0.25">
      <c r="B45" s="136" t="s">
        <v>130</v>
      </c>
      <c r="C45" s="137" t="s">
        <v>131</v>
      </c>
      <c r="D45" s="135"/>
      <c r="E45" s="134"/>
      <c r="F45" s="4"/>
      <c r="G45" s="134"/>
      <c r="I45" s="110"/>
      <c r="O45" s="124"/>
      <c r="P45" s="124"/>
      <c r="Q45" s="124"/>
      <c r="R45" s="124"/>
    </row>
    <row r="46" spans="2:18" x14ac:dyDescent="0.25">
      <c r="B46" s="136">
        <v>3.7</v>
      </c>
      <c r="C46" s="137">
        <v>0</v>
      </c>
      <c r="D46" s="135"/>
      <c r="E46" s="134"/>
      <c r="F46" s="4"/>
      <c r="G46" s="134"/>
      <c r="I46" s="134"/>
      <c r="O46" s="79"/>
      <c r="P46" s="79"/>
      <c r="Q46" s="79"/>
      <c r="R46" s="79"/>
    </row>
    <row r="47" spans="2:18" x14ac:dyDescent="0.25">
      <c r="B47" s="136">
        <v>4.5</v>
      </c>
      <c r="C47" s="137">
        <v>4</v>
      </c>
      <c r="D47" s="135"/>
      <c r="E47" s="134"/>
      <c r="F47" s="4"/>
      <c r="G47" s="134"/>
      <c r="I47" s="134"/>
      <c r="O47" s="79"/>
      <c r="P47" s="79"/>
      <c r="Q47" s="79"/>
      <c r="R47" s="79"/>
    </row>
    <row r="48" spans="2:18" x14ac:dyDescent="0.25">
      <c r="B48" s="136">
        <v>5.5</v>
      </c>
      <c r="C48" s="137">
        <v>8</v>
      </c>
      <c r="D48" s="135"/>
      <c r="E48" s="134"/>
      <c r="F48" s="4"/>
      <c r="G48" s="134"/>
      <c r="I48" s="134"/>
      <c r="O48" s="79"/>
      <c r="P48" s="79"/>
      <c r="Q48" s="79"/>
      <c r="R48" s="79"/>
    </row>
    <row r="49" spans="2:18" x14ac:dyDescent="0.25">
      <c r="B49" s="136">
        <v>6.5</v>
      </c>
      <c r="C49" s="137">
        <v>17</v>
      </c>
      <c r="D49" s="135"/>
      <c r="E49" s="134"/>
      <c r="F49" s="4"/>
      <c r="G49" s="134"/>
      <c r="N49" s="1" t="s">
        <v>67</v>
      </c>
      <c r="O49" s="63">
        <f>O19</f>
        <v>40.816776278733229</v>
      </c>
      <c r="P49" s="63">
        <f>P19</f>
        <v>0</v>
      </c>
      <c r="Q49" s="63">
        <f>Q19</f>
        <v>51.858628070554715</v>
      </c>
      <c r="R49" s="64">
        <f>R19</f>
        <v>44.571005887952538</v>
      </c>
    </row>
    <row r="50" spans="2:18" ht="14.25" x14ac:dyDescent="0.2">
      <c r="B50" s="135"/>
      <c r="C50" s="138"/>
      <c r="D50" s="67"/>
      <c r="E50" s="67"/>
      <c r="F50" s="139"/>
      <c r="G50" s="139"/>
      <c r="H50" s="140"/>
      <c r="I50" s="140"/>
      <c r="J50" s="140"/>
      <c r="K50" s="140"/>
      <c r="L50" s="140"/>
      <c r="N50" s="1" t="s">
        <v>132</v>
      </c>
      <c r="O50" s="79">
        <f>O29*O49</f>
        <v>16.92671712279067</v>
      </c>
      <c r="P50" s="79">
        <f>P29*P49</f>
        <v>0</v>
      </c>
      <c r="Q50" s="79">
        <f>Q29*Q49</f>
        <v>0</v>
      </c>
      <c r="R50" s="79">
        <f>R29*R49</f>
        <v>0</v>
      </c>
    </row>
    <row r="51" spans="2:18" ht="14.25" x14ac:dyDescent="0.2">
      <c r="B51" s="135"/>
      <c r="C51" s="138"/>
      <c r="D51" s="140"/>
      <c r="E51" s="140"/>
      <c r="F51" s="140"/>
      <c r="G51" s="140"/>
      <c r="H51" s="140" t="s">
        <v>1</v>
      </c>
      <c r="I51" s="140"/>
      <c r="J51" s="140"/>
      <c r="K51" s="140"/>
      <c r="L51" s="140"/>
      <c r="N51" s="1" t="s">
        <v>133</v>
      </c>
      <c r="O51" s="79" t="e">
        <f>#REF!</f>
        <v>#REF!</v>
      </c>
      <c r="P51" s="79" t="e">
        <f>#REF!</f>
        <v>#REF!</v>
      </c>
      <c r="Q51" s="79" t="e">
        <f>#REF!</f>
        <v>#REF!</v>
      </c>
      <c r="R51" s="80" t="e">
        <f>#REF!</f>
        <v>#REF!</v>
      </c>
    </row>
    <row r="52" spans="2:18" ht="14.25" x14ac:dyDescent="0.2">
      <c r="B52" s="135"/>
      <c r="C52" s="138"/>
      <c r="D52" s="140"/>
      <c r="E52" s="141"/>
      <c r="F52" s="140"/>
      <c r="G52" s="140"/>
      <c r="H52" s="140"/>
      <c r="I52" s="140"/>
      <c r="J52" s="140" t="s">
        <v>1</v>
      </c>
      <c r="K52" s="140"/>
      <c r="L52" s="140"/>
      <c r="N52" s="1" t="s">
        <v>134</v>
      </c>
      <c r="O52" s="79" t="e">
        <f>O50-O51</f>
        <v>#REF!</v>
      </c>
      <c r="P52" s="79" t="e">
        <f>P50-P51</f>
        <v>#REF!</v>
      </c>
      <c r="Q52" s="79" t="e">
        <f>Q50-Q51</f>
        <v>#REF!</v>
      </c>
      <c r="R52" s="79" t="e">
        <f>R50-R51</f>
        <v>#REF!</v>
      </c>
    </row>
    <row r="53" spans="2:18" ht="14.25" x14ac:dyDescent="0.2">
      <c r="B53" s="142"/>
      <c r="C53" s="143"/>
      <c r="D53" s="67"/>
      <c r="E53" s="144"/>
      <c r="F53" s="67"/>
      <c r="G53" s="67"/>
      <c r="H53" s="140"/>
      <c r="I53" s="140"/>
      <c r="J53" s="140"/>
      <c r="K53" s="140"/>
      <c r="L53" s="140" t="s">
        <v>1</v>
      </c>
      <c r="N53" s="1" t="s">
        <v>135</v>
      </c>
      <c r="O53" s="145" t="e">
        <f>O50/O51</f>
        <v>#REF!</v>
      </c>
      <c r="P53" s="145" t="e">
        <f>P50/P51</f>
        <v>#REF!</v>
      </c>
      <c r="Q53" s="145" t="e">
        <f>Q50/Q51</f>
        <v>#REF!</v>
      </c>
      <c r="R53" s="145" t="e">
        <f>R50/R51</f>
        <v>#REF!</v>
      </c>
    </row>
    <row r="54" spans="2:18" ht="14.25" x14ac:dyDescent="0.25">
      <c r="B54" s="142"/>
      <c r="C54" s="146"/>
      <c r="D54" s="147"/>
      <c r="E54" s="148"/>
      <c r="F54" s="147"/>
      <c r="G54" s="67"/>
      <c r="H54" s="140"/>
      <c r="I54" s="140"/>
      <c r="J54" s="140"/>
      <c r="K54" s="140"/>
      <c r="L54" s="140"/>
      <c r="N54" s="1" t="s">
        <v>136</v>
      </c>
      <c r="O54" s="145" t="e">
        <f>O50/Q50</f>
        <v>#DIV/0!</v>
      </c>
      <c r="P54" s="145" t="e">
        <f>P50/Q50</f>
        <v>#DIV/0!</v>
      </c>
      <c r="Q54" s="145" t="e">
        <f>Q50/Q50</f>
        <v>#DIV/0!</v>
      </c>
      <c r="R54" s="149" t="e">
        <f>R50/Q50</f>
        <v>#DIV/0!</v>
      </c>
    </row>
    <row r="55" spans="2:18" ht="14.25" x14ac:dyDescent="0.25">
      <c r="B55" s="142"/>
      <c r="C55" s="146">
        <v>1</v>
      </c>
      <c r="D55" s="147"/>
      <c r="E55" s="148"/>
      <c r="F55" s="147"/>
      <c r="G55" s="67"/>
      <c r="H55" s="140"/>
      <c r="I55" s="140"/>
      <c r="J55" s="140"/>
      <c r="K55" s="140"/>
      <c r="L55" s="140"/>
      <c r="O55" s="145"/>
      <c r="P55" s="145"/>
      <c r="Q55" s="145"/>
      <c r="R55" s="149"/>
    </row>
    <row r="56" spans="2:18" ht="14.25" x14ac:dyDescent="0.25">
      <c r="B56" s="142"/>
      <c r="C56" s="146" t="str">
        <f>IF(C8&gt;160," high blood pressure","")</f>
        <v/>
      </c>
      <c r="D56" s="462" t="str">
        <f>IF(B57="",IF(C56="","",IF(C58="",""," und")),"")</f>
        <v/>
      </c>
      <c r="E56" s="148"/>
      <c r="F56" s="147"/>
      <c r="G56" s="67"/>
      <c r="H56" s="140"/>
      <c r="I56" s="140"/>
      <c r="J56" s="140"/>
      <c r="K56" s="140"/>
      <c r="L56" s="140"/>
      <c r="O56" s="145"/>
      <c r="P56" s="145"/>
      <c r="Q56" s="145"/>
      <c r="R56" s="149"/>
    </row>
    <row r="57" spans="2:18" ht="14.25" x14ac:dyDescent="0.25">
      <c r="B57" s="142" t="str">
        <f>IF(C56="","",IF(AND(C57="",C58=""),"",IF(C58=""," and ",IF(C57="","",IF(C56="","",", ")))))</f>
        <v/>
      </c>
      <c r="C57" s="146" t="str">
        <f>IF(C18&gt;4.9,"high LDL","")</f>
        <v/>
      </c>
      <c r="D57" s="462"/>
      <c r="E57" s="148"/>
      <c r="F57" s="147"/>
      <c r="G57" s="67"/>
      <c r="H57" s="140"/>
      <c r="I57" s="140"/>
      <c r="J57" s="140"/>
      <c r="K57" s="140"/>
      <c r="L57" s="140"/>
      <c r="O57" s="145"/>
      <c r="P57" s="145"/>
      <c r="Q57" s="145"/>
      <c r="R57" s="149"/>
    </row>
    <row r="58" spans="2:18" ht="27.75" x14ac:dyDescent="0.25">
      <c r="B58" s="142" t="s">
        <v>348</v>
      </c>
      <c r="C58" s="146" t="str">
        <f>IF(K18&lt;60," poor renal function","")</f>
        <v xml:space="preserve"> poor renal function</v>
      </c>
      <c r="D58" s="462"/>
      <c r="E58" s="148"/>
      <c r="F58" s="147"/>
      <c r="G58" s="67"/>
      <c r="H58" s="140"/>
      <c r="I58" s="140"/>
      <c r="J58" s="140"/>
      <c r="K58" s="140"/>
      <c r="L58" s="140"/>
      <c r="N58" s="150" t="s">
        <v>137</v>
      </c>
      <c r="R58" s="149"/>
    </row>
    <row r="59" spans="2:18" ht="27.75" x14ac:dyDescent="0.25">
      <c r="B59" s="142"/>
      <c r="C59" s="461" t="str">
        <f>IF(C55=1,IF(AND(C56="",C57="",C58=""),"","This patient is already at high risk by definition irrespective from numeric results due to either: "&amp;C56&amp;B57&amp;C57&amp;D56&amp;B58&amp;C58),"")</f>
        <v>This patient is already at high risk by definition irrespective from numeric results due to either:  or poor renal function</v>
      </c>
      <c r="D59" s="147"/>
      <c r="E59" s="148"/>
      <c r="F59" s="147"/>
      <c r="G59" s="67"/>
      <c r="H59" s="140"/>
      <c r="I59" s="140"/>
      <c r="J59" s="140"/>
      <c r="K59" s="140"/>
      <c r="L59" s="140"/>
      <c r="N59" s="7" t="s">
        <v>4</v>
      </c>
      <c r="R59" s="149"/>
    </row>
    <row r="60" spans="2:18" ht="45" x14ac:dyDescent="0.25">
      <c r="B60" s="142"/>
      <c r="C60" s="146"/>
      <c r="D60" s="147"/>
      <c r="E60" s="148"/>
      <c r="F60" s="147"/>
      <c r="G60" s="67"/>
      <c r="N60" s="18" t="s">
        <v>138</v>
      </c>
      <c r="R60" s="149"/>
    </row>
    <row r="61" spans="2:18" ht="15" x14ac:dyDescent="0.25">
      <c r="B61" s="142"/>
      <c r="C61" s="146"/>
      <c r="D61" s="147"/>
      <c r="E61" s="151"/>
      <c r="F61" s="152"/>
      <c r="G61" s="153"/>
      <c r="N61" s="18"/>
      <c r="R61" s="149"/>
    </row>
    <row r="62" spans="2:18" ht="15" x14ac:dyDescent="0.25">
      <c r="B62" s="142"/>
      <c r="C62" s="146"/>
      <c r="D62" s="147"/>
      <c r="E62" s="151"/>
      <c r="F62" s="152"/>
      <c r="G62" s="153"/>
      <c r="N62" s="1" t="s">
        <v>9</v>
      </c>
      <c r="O62" s="27">
        <f>K20*100</f>
        <v>76.341710471792496</v>
      </c>
      <c r="P62" s="27" t="s">
        <v>10</v>
      </c>
      <c r="R62" s="149"/>
    </row>
    <row r="63" spans="2:18" ht="15" x14ac:dyDescent="0.25">
      <c r="B63" s="142"/>
      <c r="C63" s="146"/>
      <c r="D63" s="147"/>
      <c r="E63" s="151"/>
      <c r="F63" s="152"/>
      <c r="G63" s="153"/>
      <c r="N63" s="1" t="s">
        <v>139</v>
      </c>
      <c r="O63" s="36">
        <f>0.46*K19*21</f>
        <v>28.014000000000003</v>
      </c>
      <c r="P63" s="27">
        <f>O62*0.6</f>
        <v>45.805026283075499</v>
      </c>
      <c r="R63" s="4"/>
    </row>
    <row r="64" spans="2:18" ht="15" x14ac:dyDescent="0.25">
      <c r="B64" s="142"/>
      <c r="C64" s="146"/>
      <c r="D64" s="147"/>
      <c r="E64" s="148"/>
      <c r="F64" s="147"/>
      <c r="G64" s="153"/>
      <c r="N64" s="1" t="s">
        <v>18</v>
      </c>
      <c r="O64" s="27">
        <f>0.6*K19*21</f>
        <v>36.54</v>
      </c>
      <c r="R64" s="4"/>
    </row>
    <row r="65" spans="2:18" ht="15" x14ac:dyDescent="0.25">
      <c r="B65" s="142"/>
      <c r="C65" s="146"/>
      <c r="D65" s="147"/>
      <c r="E65" s="148"/>
      <c r="F65" s="147"/>
      <c r="G65" s="153"/>
      <c r="N65" s="1" t="s">
        <v>22</v>
      </c>
      <c r="O65" s="27">
        <v>80</v>
      </c>
      <c r="R65" s="4"/>
    </row>
    <row r="66" spans="2:18" ht="15" x14ac:dyDescent="0.25">
      <c r="B66" s="142"/>
      <c r="C66" s="146"/>
      <c r="D66" s="147"/>
      <c r="E66" s="148"/>
      <c r="F66" s="147"/>
      <c r="G66" s="153"/>
      <c r="N66" s="1" t="s">
        <v>25</v>
      </c>
      <c r="O66" s="36">
        <f>0.2*K19*21</f>
        <v>12.18</v>
      </c>
    </row>
    <row r="67" spans="2:18" ht="15" x14ac:dyDescent="0.25">
      <c r="B67" s="153"/>
      <c r="C67" s="148"/>
      <c r="D67" s="147"/>
      <c r="E67" s="148"/>
      <c r="F67" s="147"/>
      <c r="G67" s="153"/>
      <c r="N67" s="1" t="s">
        <v>28</v>
      </c>
      <c r="O67" s="36">
        <v>0.37</v>
      </c>
      <c r="Q67" s="53"/>
    </row>
    <row r="68" spans="2:18" ht="15" x14ac:dyDescent="0.25">
      <c r="B68" s="153"/>
      <c r="C68" s="148"/>
      <c r="D68" s="147"/>
      <c r="E68" s="148"/>
      <c r="F68" s="147"/>
      <c r="G68" s="153"/>
      <c r="N68" s="1" t="s">
        <v>32</v>
      </c>
      <c r="O68" s="55">
        <v>2.2999999999999998</v>
      </c>
    </row>
    <row r="69" spans="2:18" ht="15" x14ac:dyDescent="0.25">
      <c r="B69" s="153"/>
      <c r="C69" s="148"/>
      <c r="D69" s="147"/>
      <c r="E69" s="148"/>
      <c r="F69" s="147"/>
      <c r="G69" s="153"/>
      <c r="N69" s="1" t="s">
        <v>35</v>
      </c>
      <c r="O69" s="55">
        <v>19.91</v>
      </c>
    </row>
    <row r="70" spans="2:18" ht="15" x14ac:dyDescent="0.25">
      <c r="B70" s="153"/>
      <c r="C70" s="148"/>
      <c r="D70" s="147"/>
      <c r="E70" s="148"/>
      <c r="F70" s="147"/>
      <c r="G70" s="153"/>
      <c r="N70" s="1" t="s">
        <v>38</v>
      </c>
      <c r="O70" s="57">
        <v>191494</v>
      </c>
    </row>
    <row r="71" spans="2:18" ht="15" x14ac:dyDescent="0.25">
      <c r="B71" s="153"/>
      <c r="C71" s="148"/>
      <c r="D71" s="147"/>
      <c r="E71" s="148"/>
      <c r="F71" s="147"/>
      <c r="G71" s="153"/>
      <c r="N71" s="59" t="s">
        <v>4</v>
      </c>
      <c r="O71" s="60" t="s">
        <v>43</v>
      </c>
      <c r="P71" s="60" t="s">
        <v>44</v>
      </c>
      <c r="Q71" s="60" t="s">
        <v>45</v>
      </c>
      <c r="R71" s="61" t="s">
        <v>46</v>
      </c>
    </row>
    <row r="72" spans="2:18" x14ac:dyDescent="0.2">
      <c r="B72" s="153"/>
      <c r="C72" s="155"/>
      <c r="D72" s="153"/>
      <c r="E72" s="153"/>
      <c r="F72" s="151"/>
      <c r="G72" s="153"/>
      <c r="O72" s="63"/>
      <c r="P72" s="63"/>
      <c r="Q72" s="63"/>
      <c r="R72" s="64"/>
    </row>
    <row r="73" spans="2:18" x14ac:dyDescent="0.2">
      <c r="N73" s="1" t="s">
        <v>52</v>
      </c>
      <c r="O73" s="63">
        <f>$O$62</f>
        <v>76.341710471792496</v>
      </c>
      <c r="P73" s="63">
        <f>$O$62</f>
        <v>76.341710471792496</v>
      </c>
      <c r="Q73" s="63">
        <f>$O$62</f>
        <v>76.341710471792496</v>
      </c>
      <c r="R73" s="63">
        <f>$O$62</f>
        <v>76.341710471792496</v>
      </c>
    </row>
    <row r="74" spans="2:18" x14ac:dyDescent="0.2">
      <c r="N74" s="1" t="s">
        <v>55</v>
      </c>
      <c r="O74" s="63">
        <f>O73*1.111</f>
        <v>84.815640334161458</v>
      </c>
      <c r="P74" s="63">
        <f>P73*1.111</f>
        <v>84.815640334161458</v>
      </c>
      <c r="Q74" s="63">
        <f>Q73*1.111</f>
        <v>84.815640334161458</v>
      </c>
      <c r="R74" s="64">
        <f>R73*1.111</f>
        <v>84.815640334161458</v>
      </c>
    </row>
    <row r="75" spans="2:18" x14ac:dyDescent="0.2">
      <c r="N75" s="1" t="s">
        <v>59</v>
      </c>
      <c r="O75" s="63">
        <f>O65</f>
        <v>80</v>
      </c>
      <c r="P75" s="63">
        <f>O64</f>
        <v>36.54</v>
      </c>
      <c r="Q75" s="63">
        <f>O63</f>
        <v>28.014000000000003</v>
      </c>
      <c r="R75" s="64">
        <f>O66+O63</f>
        <v>40.194000000000003</v>
      </c>
    </row>
    <row r="76" spans="2:18" x14ac:dyDescent="0.2">
      <c r="N76" s="1" t="s">
        <v>64</v>
      </c>
      <c r="O76" s="63">
        <f>O74/100*O75</f>
        <v>67.852512267329161</v>
      </c>
      <c r="P76" s="63">
        <f>P74/100*P75</f>
        <v>30.991634978102596</v>
      </c>
      <c r="Q76" s="63">
        <f>Q74/100*Q75</f>
        <v>23.760253483211994</v>
      </c>
      <c r="R76" s="64">
        <f>R74/100*R75</f>
        <v>34.090798475912855</v>
      </c>
    </row>
    <row r="77" spans="2:18" x14ac:dyDescent="0.2">
      <c r="N77" s="1" t="s">
        <v>67</v>
      </c>
      <c r="O77" s="63">
        <f>100/O76</f>
        <v>1.4737847819991448</v>
      </c>
      <c r="P77" s="63">
        <f>100/P76</f>
        <v>3.2266771362871256</v>
      </c>
      <c r="Q77" s="63">
        <f>100/Q76</f>
        <v>4.2087093082005982</v>
      </c>
      <c r="R77" s="64">
        <f>100/R76</f>
        <v>2.9333428511701141</v>
      </c>
    </row>
    <row r="78" spans="2:18" x14ac:dyDescent="0.2">
      <c r="N78" s="1" t="s">
        <v>70</v>
      </c>
      <c r="O78" s="79">
        <f>O70</f>
        <v>191494</v>
      </c>
      <c r="P78" s="79">
        <f>O70</f>
        <v>191494</v>
      </c>
      <c r="Q78" s="79">
        <f>O70</f>
        <v>191494</v>
      </c>
      <c r="R78" s="80">
        <f>O70</f>
        <v>191494</v>
      </c>
    </row>
    <row r="79" spans="2:18" x14ac:dyDescent="0.2">
      <c r="O79" s="63"/>
      <c r="P79" s="63"/>
      <c r="Q79" s="63"/>
      <c r="R79" s="64"/>
    </row>
    <row r="80" spans="2:18" x14ac:dyDescent="0.2">
      <c r="N80" s="1" t="s">
        <v>75</v>
      </c>
      <c r="O80" s="63">
        <f>O67</f>
        <v>0.37</v>
      </c>
      <c r="P80" s="63">
        <v>0</v>
      </c>
      <c r="Q80" s="63">
        <f>O67</f>
        <v>0.37</v>
      </c>
      <c r="R80" s="64">
        <f>O67</f>
        <v>0.37</v>
      </c>
    </row>
    <row r="81" spans="3:18" x14ac:dyDescent="0.2">
      <c r="N81" s="1" t="s">
        <v>77</v>
      </c>
      <c r="O81" s="63">
        <f>O69</f>
        <v>19.91</v>
      </c>
      <c r="P81" s="63">
        <f>O69</f>
        <v>19.91</v>
      </c>
      <c r="Q81" s="63">
        <v>0</v>
      </c>
      <c r="R81" s="64">
        <f>O68</f>
        <v>2.2999999999999998</v>
      </c>
    </row>
    <row r="82" spans="3:18" x14ac:dyDescent="0.2">
      <c r="N82" s="1" t="s">
        <v>79</v>
      </c>
      <c r="O82" s="63">
        <f>3650*(O80+O81)</f>
        <v>74022</v>
      </c>
      <c r="P82" s="63">
        <f>3650*(P80+P81)</f>
        <v>72671.5</v>
      </c>
      <c r="Q82" s="63">
        <f>3650*(Q80+Q81)</f>
        <v>1350.5</v>
      </c>
      <c r="R82" s="64">
        <f>3650*(R80+R81)</f>
        <v>9745.5</v>
      </c>
    </row>
    <row r="83" spans="3:18" x14ac:dyDescent="0.2">
      <c r="N83" s="1" t="s">
        <v>82</v>
      </c>
      <c r="O83" s="63">
        <v>10000</v>
      </c>
      <c r="P83" s="63">
        <v>10000</v>
      </c>
      <c r="Q83" s="63">
        <v>10000</v>
      </c>
      <c r="R83" s="64">
        <v>10000</v>
      </c>
    </row>
    <row r="84" spans="3:18" ht="15" x14ac:dyDescent="0.25">
      <c r="C84" s="156"/>
      <c r="D84" s="157"/>
      <c r="E84" s="157"/>
      <c r="F84" s="158"/>
      <c r="O84" s="60" t="s">
        <v>86</v>
      </c>
      <c r="P84" s="60" t="s">
        <v>87</v>
      </c>
      <c r="Q84" s="60" t="s">
        <v>88</v>
      </c>
      <c r="R84" s="61" t="s">
        <v>89</v>
      </c>
    </row>
    <row r="85" spans="3:18" ht="15" x14ac:dyDescent="0.25">
      <c r="C85" s="159" t="s">
        <v>140</v>
      </c>
      <c r="D85" s="134"/>
      <c r="E85" s="4"/>
      <c r="F85" s="154"/>
      <c r="N85" s="59" t="s">
        <v>93</v>
      </c>
      <c r="O85" s="57">
        <f>(O77*(O82+O83))-O78</f>
        <v>-67663.655046867862</v>
      </c>
      <c r="P85" s="57">
        <f>(P77*(P82+P83))-P78</f>
        <v>75260.23887256108</v>
      </c>
      <c r="Q85" s="57">
        <f>(Q77*(Q82+Q83))-Q78</f>
        <v>-143723.04499726911</v>
      </c>
      <c r="R85" s="116">
        <f>(R77*(R82+R83))-R78</f>
        <v>-133573.67873222052</v>
      </c>
    </row>
    <row r="86" spans="3:18" ht="15" x14ac:dyDescent="0.25">
      <c r="C86" s="160" t="s">
        <v>141</v>
      </c>
      <c r="D86" s="134" t="s">
        <v>142</v>
      </c>
      <c r="E86" s="4"/>
      <c r="F86" s="154"/>
      <c r="N86" s="59" t="s">
        <v>96</v>
      </c>
      <c r="O86" s="119">
        <f>O93</f>
        <v>0.64665391580484055</v>
      </c>
      <c r="P86" s="119">
        <f>P93</f>
        <v>1.3930161721649821</v>
      </c>
      <c r="Q86" s="119">
        <f>Q93</f>
        <v>0.24946450020747848</v>
      </c>
      <c r="R86" s="120">
        <f>R93</f>
        <v>0.30246546245720224</v>
      </c>
    </row>
    <row r="87" spans="3:18" x14ac:dyDescent="0.25">
      <c r="C87" s="160">
        <v>84.7</v>
      </c>
      <c r="D87" s="134">
        <v>39.5</v>
      </c>
      <c r="E87" s="4"/>
      <c r="F87" s="154"/>
      <c r="N87" s="1" t="s">
        <v>1</v>
      </c>
      <c r="R87" s="4"/>
    </row>
    <row r="88" spans="3:18" x14ac:dyDescent="0.25">
      <c r="C88" s="160">
        <v>28</v>
      </c>
      <c r="D88" s="134">
        <v>56</v>
      </c>
      <c r="E88" s="4"/>
      <c r="F88" s="154"/>
      <c r="N88" s="1" t="s">
        <v>104</v>
      </c>
      <c r="O88" s="79">
        <f>SUM(O82:O83)</f>
        <v>84022</v>
      </c>
      <c r="P88" s="79">
        <f>SUM(P82:P83)</f>
        <v>82671.5</v>
      </c>
      <c r="Q88" s="79">
        <f>SUM(Q82:Q83)</f>
        <v>11350.5</v>
      </c>
      <c r="R88" s="79">
        <f>SUM(R82:R83)</f>
        <v>19745.5</v>
      </c>
    </row>
    <row r="89" spans="3:18" ht="14.25" x14ac:dyDescent="0.25">
      <c r="C89" s="161">
        <f>C87/C88</f>
        <v>3.0249999999999999</v>
      </c>
      <c r="D89" s="162">
        <f>D87/D88</f>
        <v>0.7053571428571429</v>
      </c>
      <c r="E89" s="4"/>
      <c r="F89" s="154"/>
      <c r="N89" s="1" t="s">
        <v>67</v>
      </c>
      <c r="O89" s="63">
        <f>O77</f>
        <v>1.4737847819991448</v>
      </c>
      <c r="P89" s="63">
        <f>P77</f>
        <v>3.2266771362871256</v>
      </c>
      <c r="Q89" s="63">
        <f>Q77</f>
        <v>4.2087093082005982</v>
      </c>
      <c r="R89" s="64">
        <f>R77</f>
        <v>2.9333428511701141</v>
      </c>
    </row>
    <row r="90" spans="3:18" x14ac:dyDescent="0.25">
      <c r="C90" s="160"/>
      <c r="D90" s="134"/>
      <c r="E90" s="4"/>
      <c r="F90" s="154"/>
      <c r="N90" s="1" t="s">
        <v>132</v>
      </c>
      <c r="O90" s="79">
        <f>O88*O89</f>
        <v>123830.34495313214</v>
      </c>
      <c r="P90" s="79">
        <f>P88*P89</f>
        <v>266754.23887256108</v>
      </c>
      <c r="Q90" s="79">
        <f>Q88*Q89</f>
        <v>47770.955002730887</v>
      </c>
      <c r="R90" s="79">
        <f>R88*R89</f>
        <v>57920.321267779487</v>
      </c>
    </row>
    <row r="91" spans="3:18" x14ac:dyDescent="0.25">
      <c r="C91" s="160" t="s">
        <v>143</v>
      </c>
      <c r="D91" s="134" t="s">
        <v>144</v>
      </c>
      <c r="E91" s="4"/>
      <c r="F91" s="154"/>
      <c r="N91" s="1" t="s">
        <v>133</v>
      </c>
      <c r="O91" s="79">
        <f>O78</f>
        <v>191494</v>
      </c>
      <c r="P91" s="79">
        <f>P78</f>
        <v>191494</v>
      </c>
      <c r="Q91" s="79">
        <f>Q78</f>
        <v>191494</v>
      </c>
      <c r="R91" s="80">
        <f>R78</f>
        <v>191494</v>
      </c>
    </row>
    <row r="92" spans="3:18" ht="14.25" x14ac:dyDescent="0.25">
      <c r="C92" s="163">
        <v>2.2999999999999998</v>
      </c>
      <c r="D92" s="164">
        <f>C92+D89</f>
        <v>3.0053571428571426</v>
      </c>
      <c r="E92" s="4"/>
      <c r="F92" s="154"/>
      <c r="N92" s="1" t="s">
        <v>134</v>
      </c>
      <c r="O92" s="79">
        <f>O90-O91</f>
        <v>-67663.655046867862</v>
      </c>
      <c r="P92" s="79">
        <f>P90-P91</f>
        <v>75260.23887256108</v>
      </c>
      <c r="Q92" s="79">
        <f>Q90-Q91</f>
        <v>-143723.04499726911</v>
      </c>
      <c r="R92" s="79">
        <f>R90-R91</f>
        <v>-133573.67873222052</v>
      </c>
    </row>
    <row r="93" spans="3:18" x14ac:dyDescent="0.25">
      <c r="C93" s="160"/>
      <c r="D93" s="134"/>
      <c r="E93" s="4"/>
      <c r="F93" s="154"/>
      <c r="N93" s="1" t="s">
        <v>135</v>
      </c>
      <c r="O93" s="145">
        <f>O90/O91</f>
        <v>0.64665391580484055</v>
      </c>
      <c r="P93" s="145">
        <f>P90/P91</f>
        <v>1.3930161721649821</v>
      </c>
      <c r="Q93" s="145">
        <f>Q90/Q91</f>
        <v>0.24946450020747848</v>
      </c>
      <c r="R93" s="145">
        <f>R90/R91</f>
        <v>0.30246546245720224</v>
      </c>
    </row>
    <row r="94" spans="3:18" x14ac:dyDescent="0.25">
      <c r="C94" s="160"/>
      <c r="D94" s="134"/>
      <c r="E94" s="4"/>
      <c r="F94" s="154"/>
      <c r="N94" s="1" t="s">
        <v>136</v>
      </c>
      <c r="O94" s="145">
        <f>O90/Q90</f>
        <v>2.5921680851063837</v>
      </c>
      <c r="P94" s="145">
        <f>P90/Q90</f>
        <v>5.5840256670043908</v>
      </c>
      <c r="Q94" s="145">
        <f>Q90/Q90</f>
        <v>1</v>
      </c>
      <c r="R94" s="149">
        <f>R90/Q90</f>
        <v>1.2124589358631914</v>
      </c>
    </row>
    <row r="95" spans="3:18" x14ac:dyDescent="0.25">
      <c r="C95" s="160" t="s">
        <v>145</v>
      </c>
      <c r="D95" s="134"/>
      <c r="E95" s="4"/>
      <c r="F95" s="154"/>
      <c r="O95" s="145"/>
      <c r="P95" s="145"/>
      <c r="Q95" s="145"/>
      <c r="R95" s="4"/>
    </row>
    <row r="96" spans="3:18" x14ac:dyDescent="0.25">
      <c r="C96" s="160" t="s">
        <v>146</v>
      </c>
      <c r="D96" s="134"/>
      <c r="E96" s="4"/>
      <c r="F96" s="154"/>
      <c r="R96" s="4"/>
    </row>
    <row r="97" spans="3:18" x14ac:dyDescent="0.25">
      <c r="C97" s="165"/>
      <c r="D97" s="166"/>
      <c r="E97" s="166"/>
      <c r="F97" s="167"/>
      <c r="R97" s="4"/>
    </row>
    <row r="98" spans="3:18" x14ac:dyDescent="0.25">
      <c r="C98" s="3"/>
      <c r="D98" s="3"/>
      <c r="E98" s="3"/>
      <c r="F98" s="4"/>
      <c r="R98" s="4"/>
    </row>
    <row r="99" spans="3:18" x14ac:dyDescent="0.25">
      <c r="C99" s="3"/>
      <c r="D99" s="3"/>
      <c r="E99" s="3"/>
      <c r="F99" s="4"/>
      <c r="R99" s="4"/>
    </row>
    <row r="100" spans="3:18" x14ac:dyDescent="0.25">
      <c r="C100" s="156"/>
      <c r="D100" s="157"/>
      <c r="E100" s="157"/>
      <c r="F100" s="158"/>
      <c r="R100" s="4"/>
    </row>
    <row r="101" spans="3:18" x14ac:dyDescent="0.25">
      <c r="C101" s="160" t="s">
        <v>147</v>
      </c>
      <c r="D101" s="4"/>
      <c r="E101" s="4"/>
      <c r="F101" s="154"/>
      <c r="R101" s="4"/>
    </row>
    <row r="102" spans="3:18" x14ac:dyDescent="0.25">
      <c r="C102" s="160" t="s">
        <v>148</v>
      </c>
      <c r="D102" s="4"/>
      <c r="E102" s="4"/>
      <c r="F102" s="154"/>
      <c r="R102" s="4"/>
    </row>
    <row r="103" spans="3:18" x14ac:dyDescent="0.25">
      <c r="C103" s="160" t="s">
        <v>149</v>
      </c>
      <c r="D103" s="4"/>
      <c r="E103" s="4"/>
      <c r="F103" s="154"/>
      <c r="R103" s="4"/>
    </row>
    <row r="104" spans="3:18" x14ac:dyDescent="0.25">
      <c r="C104" s="160" t="s">
        <v>150</v>
      </c>
      <c r="D104" s="4"/>
      <c r="E104" s="4"/>
      <c r="F104" s="154"/>
      <c r="R104" s="4"/>
    </row>
    <row r="105" spans="3:18" x14ac:dyDescent="0.25">
      <c r="C105" s="165"/>
      <c r="D105" s="166"/>
      <c r="E105" s="166"/>
      <c r="F105" s="167"/>
      <c r="R105" s="4"/>
    </row>
    <row r="106" spans="3:18" x14ac:dyDescent="0.2">
      <c r="D106" s="134"/>
      <c r="R106" s="4"/>
    </row>
    <row r="107" spans="3:18" x14ac:dyDescent="0.2">
      <c r="D107" s="134"/>
      <c r="R107" s="4"/>
    </row>
    <row r="108" spans="3:18" x14ac:dyDescent="0.2">
      <c r="D108" s="134"/>
      <c r="R108" s="4"/>
    </row>
    <row r="109" spans="3:18" x14ac:dyDescent="0.2">
      <c r="D109" s="134"/>
      <c r="R109" s="4"/>
    </row>
    <row r="110" spans="3:18" x14ac:dyDescent="0.2">
      <c r="D110" s="134"/>
      <c r="R110" s="4"/>
    </row>
    <row r="111" spans="3:18" x14ac:dyDescent="0.2">
      <c r="D111" s="134"/>
      <c r="R111" s="4"/>
    </row>
    <row r="112" spans="3:18" x14ac:dyDescent="0.2">
      <c r="D112" s="134"/>
      <c r="R112" s="4"/>
    </row>
    <row r="113" spans="4:18" x14ac:dyDescent="0.2">
      <c r="D113" s="134"/>
      <c r="R113" s="4"/>
    </row>
    <row r="114" spans="4:18" x14ac:dyDescent="0.2">
      <c r="D114" s="134"/>
      <c r="R114" s="4"/>
    </row>
    <row r="115" spans="4:18" x14ac:dyDescent="0.2">
      <c r="D115" s="134"/>
      <c r="R115" s="4"/>
    </row>
    <row r="116" spans="4:18" x14ac:dyDescent="0.2">
      <c r="D116" s="134"/>
      <c r="R116" s="4"/>
    </row>
    <row r="117" spans="4:18" x14ac:dyDescent="0.2">
      <c r="D117" s="134"/>
      <c r="R117" s="4"/>
    </row>
    <row r="118" spans="4:18" x14ac:dyDescent="0.2">
      <c r="D118" s="134"/>
      <c r="R118" s="4"/>
    </row>
    <row r="119" spans="4:18" x14ac:dyDescent="0.2">
      <c r="D119" s="134"/>
      <c r="R119" s="4"/>
    </row>
    <row r="120" spans="4:18" x14ac:dyDescent="0.2">
      <c r="D120" s="134"/>
      <c r="R120" s="4"/>
    </row>
    <row r="121" spans="4:18" x14ac:dyDescent="0.2">
      <c r="D121" s="134"/>
      <c r="R121" s="4"/>
    </row>
    <row r="122" spans="4:18" x14ac:dyDescent="0.2">
      <c r="D122" s="134"/>
      <c r="R122" s="4"/>
    </row>
    <row r="123" spans="4:18" x14ac:dyDescent="0.2">
      <c r="D123" s="134"/>
      <c r="R123" s="4"/>
    </row>
    <row r="124" spans="4:18" x14ac:dyDescent="0.2">
      <c r="D124" s="134"/>
      <c r="R124" s="4"/>
    </row>
    <row r="125" spans="4:18" x14ac:dyDescent="0.2">
      <c r="D125" s="134"/>
      <c r="R125" s="4"/>
    </row>
    <row r="126" spans="4:18" x14ac:dyDescent="0.2">
      <c r="D126" s="134"/>
      <c r="R126" s="4"/>
    </row>
    <row r="127" spans="4:18" x14ac:dyDescent="0.2">
      <c r="D127" s="134"/>
      <c r="R127" s="4"/>
    </row>
    <row r="128" spans="4:18" x14ac:dyDescent="0.2">
      <c r="D128" s="134"/>
      <c r="R128" s="4"/>
    </row>
    <row r="129" spans="2:18" x14ac:dyDescent="0.2">
      <c r="B129" s="1" t="s">
        <v>151</v>
      </c>
      <c r="D129" s="134" t="s">
        <v>152</v>
      </c>
      <c r="E129" s="1" t="s">
        <v>153</v>
      </c>
      <c r="R129" s="4"/>
    </row>
    <row r="130" spans="2:18" x14ac:dyDescent="0.2">
      <c r="E130" s="3"/>
      <c r="F130" s="1"/>
      <c r="N130" s="3"/>
      <c r="Q130" s="4"/>
      <c r="R130" s="1"/>
    </row>
    <row r="131" spans="2:18" x14ac:dyDescent="0.2">
      <c r="E131" s="3"/>
      <c r="F131" s="1"/>
      <c r="N131" s="3"/>
      <c r="Q131" s="4"/>
      <c r="R131" s="1"/>
    </row>
    <row r="132" spans="2:18" x14ac:dyDescent="0.2">
      <c r="C132" s="2">
        <v>2</v>
      </c>
      <c r="D132" s="134"/>
      <c r="R132" s="4"/>
    </row>
    <row r="133" spans="2:18" x14ac:dyDescent="0.2">
      <c r="C133" s="2">
        <v>2</v>
      </c>
      <c r="D133" s="134"/>
      <c r="E133" s="1">
        <v>2</v>
      </c>
      <c r="R133" s="4"/>
    </row>
    <row r="134" spans="2:18" x14ac:dyDescent="0.2">
      <c r="C134" s="2">
        <v>2</v>
      </c>
      <c r="D134" s="134"/>
      <c r="R134" s="4"/>
    </row>
    <row r="135" spans="2:18" x14ac:dyDescent="0.2">
      <c r="C135" s="2">
        <f>SUM(C132:C134)</f>
        <v>6</v>
      </c>
      <c r="D135" s="134"/>
      <c r="R135" s="4"/>
    </row>
    <row r="136" spans="2:18" x14ac:dyDescent="0.2">
      <c r="B136" s="1" t="s">
        <v>154</v>
      </c>
      <c r="C136" s="2">
        <v>100</v>
      </c>
      <c r="D136" s="134"/>
      <c r="E136" s="134">
        <f>SUM(E133:E135)</f>
        <v>2</v>
      </c>
      <c r="R136" s="4"/>
    </row>
    <row r="137" spans="2:18" x14ac:dyDescent="0.2">
      <c r="B137" s="1" t="s">
        <v>155</v>
      </c>
      <c r="C137" s="2">
        <f>C136*C135*365</f>
        <v>219000</v>
      </c>
      <c r="D137" s="134"/>
      <c r="E137" s="1">
        <v>10</v>
      </c>
      <c r="R137" s="4"/>
    </row>
    <row r="138" spans="2:18" x14ac:dyDescent="0.2">
      <c r="B138" s="1" t="s">
        <v>156</v>
      </c>
      <c r="C138" s="2">
        <v>1000</v>
      </c>
      <c r="D138" s="134"/>
      <c r="E138" s="2">
        <f>E137*E136*365</f>
        <v>7300</v>
      </c>
      <c r="R138" s="4"/>
    </row>
    <row r="139" spans="2:18" x14ac:dyDescent="0.2">
      <c r="B139" s="1" t="s">
        <v>157</v>
      </c>
      <c r="C139" s="2">
        <v>1200</v>
      </c>
      <c r="D139" s="134"/>
      <c r="E139" s="1">
        <v>1000</v>
      </c>
      <c r="R139" s="4"/>
    </row>
    <row r="140" spans="2:18" x14ac:dyDescent="0.2">
      <c r="B140" s="1" t="s">
        <v>158</v>
      </c>
      <c r="C140" s="2">
        <f>(C139*C138)+C137</f>
        <v>1419000</v>
      </c>
      <c r="D140" s="134"/>
      <c r="E140" s="1">
        <v>1000</v>
      </c>
      <c r="R140" s="4"/>
    </row>
    <row r="141" spans="2:18" x14ac:dyDescent="0.2">
      <c r="B141" s="1" t="s">
        <v>159</v>
      </c>
      <c r="C141" s="2">
        <f>C140/E141</f>
        <v>1.4087163704953838</v>
      </c>
      <c r="D141" s="134"/>
      <c r="E141" s="2">
        <f>(E140*E139)+E138</f>
        <v>1007300</v>
      </c>
      <c r="R141" s="4"/>
    </row>
    <row r="142" spans="2:18" x14ac:dyDescent="0.2">
      <c r="B142" s="1" t="s">
        <v>160</v>
      </c>
      <c r="C142" s="2">
        <f>E141*1.3</f>
        <v>1309490</v>
      </c>
      <c r="D142" s="134"/>
      <c r="R142" s="4"/>
    </row>
    <row r="143" spans="2:18" x14ac:dyDescent="0.2">
      <c r="B143" s="1" t="s">
        <v>161</v>
      </c>
      <c r="C143" s="2">
        <f>C140-C142</f>
        <v>109510</v>
      </c>
      <c r="D143" s="134"/>
      <c r="R143" s="4"/>
    </row>
    <row r="144" spans="2:18" x14ac:dyDescent="0.2">
      <c r="D144" s="134"/>
      <c r="R144" s="4"/>
    </row>
    <row r="145" spans="4:18" x14ac:dyDescent="0.2">
      <c r="D145" s="134"/>
      <c r="R145" s="4"/>
    </row>
    <row r="146" spans="4:18" x14ac:dyDescent="0.2">
      <c r="D146" s="134"/>
      <c r="R146" s="4"/>
    </row>
    <row r="147" spans="4:18" x14ac:dyDescent="0.2">
      <c r="D147" s="134"/>
      <c r="R147" s="4"/>
    </row>
    <row r="148" spans="4:18" x14ac:dyDescent="0.2">
      <c r="D148" s="134"/>
      <c r="R148" s="4"/>
    </row>
    <row r="149" spans="4:18" x14ac:dyDescent="0.2">
      <c r="D149" s="134"/>
      <c r="R149" s="4"/>
    </row>
    <row r="150" spans="4:18" x14ac:dyDescent="0.2">
      <c r="D150" s="134"/>
      <c r="R150" s="4"/>
    </row>
    <row r="151" spans="4:18" x14ac:dyDescent="0.2">
      <c r="D151" s="134"/>
      <c r="R151" s="4"/>
    </row>
    <row r="152" spans="4:18" x14ac:dyDescent="0.2">
      <c r="D152" s="134"/>
      <c r="R152" s="4"/>
    </row>
    <row r="153" spans="4:18" x14ac:dyDescent="0.2">
      <c r="D153" s="134"/>
      <c r="R153" s="4"/>
    </row>
    <row r="154" spans="4:18" x14ac:dyDescent="0.2">
      <c r="D154" s="134"/>
      <c r="R154" s="4"/>
    </row>
    <row r="155" spans="4:18" x14ac:dyDescent="0.2">
      <c r="D155" s="134"/>
      <c r="R155" s="4"/>
    </row>
    <row r="156" spans="4:18" x14ac:dyDescent="0.2">
      <c r="D156" s="134"/>
      <c r="R156" s="4"/>
    </row>
    <row r="157" spans="4:18" x14ac:dyDescent="0.2">
      <c r="D157" s="134"/>
      <c r="R157" s="4"/>
    </row>
    <row r="158" spans="4:18" x14ac:dyDescent="0.2">
      <c r="D158" s="134"/>
      <c r="R158" s="4"/>
    </row>
    <row r="159" spans="4:18" x14ac:dyDescent="0.2">
      <c r="D159" s="134"/>
      <c r="R159" s="4"/>
    </row>
    <row r="160" spans="4:18" x14ac:dyDescent="0.2">
      <c r="D160" s="134"/>
      <c r="R160" s="4"/>
    </row>
    <row r="161" spans="4:18" x14ac:dyDescent="0.2">
      <c r="D161" s="134"/>
      <c r="R161" s="4"/>
    </row>
    <row r="162" spans="4:18" x14ac:dyDescent="0.2">
      <c r="D162" s="134"/>
      <c r="R162" s="4"/>
    </row>
    <row r="163" spans="4:18" x14ac:dyDescent="0.2">
      <c r="D163" s="134"/>
      <c r="R163" s="4"/>
    </row>
    <row r="164" spans="4:18" x14ac:dyDescent="0.2">
      <c r="D164" s="134"/>
      <c r="R164" s="4"/>
    </row>
    <row r="165" spans="4:18" x14ac:dyDescent="0.2">
      <c r="D165" s="134"/>
      <c r="R165" s="4"/>
    </row>
    <row r="166" spans="4:18" x14ac:dyDescent="0.2">
      <c r="D166" s="134"/>
      <c r="R166" s="4"/>
    </row>
    <row r="167" spans="4:18" x14ac:dyDescent="0.2">
      <c r="D167" s="134"/>
      <c r="R167" s="4"/>
    </row>
    <row r="168" spans="4:18" x14ac:dyDescent="0.2">
      <c r="D168" s="134"/>
      <c r="R168" s="4"/>
    </row>
    <row r="169" spans="4:18" x14ac:dyDescent="0.2">
      <c r="D169" s="134"/>
      <c r="R169" s="4"/>
    </row>
    <row r="170" spans="4:18" x14ac:dyDescent="0.2">
      <c r="D170" s="134"/>
      <c r="R170" s="4"/>
    </row>
    <row r="171" spans="4:18" x14ac:dyDescent="0.2">
      <c r="D171" s="134"/>
      <c r="R171" s="4"/>
    </row>
    <row r="172" spans="4:18" x14ac:dyDescent="0.2">
      <c r="D172" s="134"/>
      <c r="R172" s="4"/>
    </row>
    <row r="173" spans="4:18" x14ac:dyDescent="0.2">
      <c r="D173" s="134"/>
      <c r="R173" s="4"/>
    </row>
    <row r="174" spans="4:18" x14ac:dyDescent="0.2">
      <c r="D174" s="134"/>
      <c r="R174" s="4"/>
    </row>
    <row r="175" spans="4:18" x14ac:dyDescent="0.2">
      <c r="D175" s="134"/>
      <c r="R175" s="4"/>
    </row>
    <row r="176" spans="4:18" x14ac:dyDescent="0.2">
      <c r="D176" s="134"/>
      <c r="R176" s="4"/>
    </row>
    <row r="177" spans="4:18" x14ac:dyDescent="0.2">
      <c r="D177" s="134"/>
      <c r="R177" s="4"/>
    </row>
    <row r="178" spans="4:18" x14ac:dyDescent="0.2">
      <c r="D178" s="134"/>
      <c r="R178" s="4"/>
    </row>
    <row r="179" spans="4:18" x14ac:dyDescent="0.2">
      <c r="D179" s="134"/>
      <c r="R179" s="4"/>
    </row>
    <row r="180" spans="4:18" x14ac:dyDescent="0.2">
      <c r="D180" s="134"/>
      <c r="R180" s="4"/>
    </row>
    <row r="181" spans="4:18" x14ac:dyDescent="0.2">
      <c r="D181" s="134"/>
      <c r="R181" s="4"/>
    </row>
    <row r="182" spans="4:18" x14ac:dyDescent="0.2">
      <c r="D182" s="134"/>
      <c r="R182" s="4"/>
    </row>
    <row r="183" spans="4:18" x14ac:dyDescent="0.2">
      <c r="D183" s="134"/>
      <c r="R183" s="4"/>
    </row>
    <row r="184" spans="4:18" x14ac:dyDescent="0.2">
      <c r="D184" s="134"/>
      <c r="R184" s="4"/>
    </row>
    <row r="185" spans="4:18" x14ac:dyDescent="0.2">
      <c r="D185" s="134"/>
      <c r="R185" s="4"/>
    </row>
    <row r="186" spans="4:18" x14ac:dyDescent="0.2">
      <c r="D186" s="134"/>
      <c r="R186" s="4"/>
    </row>
    <row r="187" spans="4:18" x14ac:dyDescent="0.2">
      <c r="D187" s="134"/>
      <c r="R187" s="4"/>
    </row>
    <row r="188" spans="4:18" x14ac:dyDescent="0.2">
      <c r="D188" s="134"/>
      <c r="R188" s="4"/>
    </row>
    <row r="189" spans="4:18" x14ac:dyDescent="0.2">
      <c r="D189" s="134"/>
      <c r="R189" s="4"/>
    </row>
    <row r="190" spans="4:18" x14ac:dyDescent="0.2">
      <c r="D190" s="134"/>
      <c r="R190" s="4"/>
    </row>
    <row r="191" spans="4:18" x14ac:dyDescent="0.2">
      <c r="D191" s="134"/>
      <c r="R191" s="4"/>
    </row>
    <row r="192" spans="4:18" x14ac:dyDescent="0.2">
      <c r="D192" s="134"/>
      <c r="R192" s="4"/>
    </row>
    <row r="193" spans="4:18" x14ac:dyDescent="0.2">
      <c r="D193" s="134"/>
      <c r="R193" s="4"/>
    </row>
    <row r="194" spans="4:18" x14ac:dyDescent="0.2">
      <c r="D194" s="134"/>
      <c r="R194" s="4"/>
    </row>
    <row r="195" spans="4:18" x14ac:dyDescent="0.2">
      <c r="D195" s="134"/>
      <c r="R195" s="4"/>
    </row>
    <row r="196" spans="4:18" x14ac:dyDescent="0.2">
      <c r="D196" s="134"/>
      <c r="R196" s="4"/>
    </row>
    <row r="197" spans="4:18" x14ac:dyDescent="0.2">
      <c r="D197" s="134"/>
      <c r="R197" s="4"/>
    </row>
    <row r="198" spans="4:18" x14ac:dyDescent="0.2">
      <c r="D198" s="134"/>
      <c r="R198" s="4"/>
    </row>
    <row r="199" spans="4:18" x14ac:dyDescent="0.2">
      <c r="D199" s="134"/>
      <c r="R199" s="4"/>
    </row>
    <row r="200" spans="4:18" x14ac:dyDescent="0.2">
      <c r="D200" s="134"/>
      <c r="R200" s="4"/>
    </row>
    <row r="201" spans="4:18" x14ac:dyDescent="0.2">
      <c r="D201" s="134"/>
      <c r="R201" s="4"/>
    </row>
    <row r="202" spans="4:18" x14ac:dyDescent="0.2">
      <c r="D202" s="134"/>
      <c r="R202" s="4"/>
    </row>
    <row r="203" spans="4:18" x14ac:dyDescent="0.2">
      <c r="D203" s="134"/>
      <c r="R203" s="4"/>
    </row>
    <row r="204" spans="4:18" x14ac:dyDescent="0.2">
      <c r="D204" s="134"/>
      <c r="R204" s="4"/>
    </row>
    <row r="205" spans="4:18" x14ac:dyDescent="0.2">
      <c r="D205" s="134"/>
      <c r="R205" s="4"/>
    </row>
    <row r="206" spans="4:18" x14ac:dyDescent="0.2">
      <c r="D206" s="134"/>
      <c r="R206" s="4"/>
    </row>
    <row r="207" spans="4:18" x14ac:dyDescent="0.2">
      <c r="D207" s="134"/>
      <c r="R207" s="4"/>
    </row>
    <row r="208" spans="4:18" x14ac:dyDescent="0.2">
      <c r="D208" s="134"/>
      <c r="R208" s="4"/>
    </row>
    <row r="209" spans="4:18" x14ac:dyDescent="0.2">
      <c r="D209" s="134"/>
      <c r="R209" s="4"/>
    </row>
    <row r="210" spans="4:18" x14ac:dyDescent="0.2">
      <c r="D210" s="134"/>
      <c r="R210" s="4"/>
    </row>
    <row r="211" spans="4:18" x14ac:dyDescent="0.2">
      <c r="D211" s="134"/>
      <c r="R211" s="4"/>
    </row>
    <row r="212" spans="4:18" x14ac:dyDescent="0.2">
      <c r="D212" s="134"/>
      <c r="R212" s="4"/>
    </row>
    <row r="213" spans="4:18" x14ac:dyDescent="0.2">
      <c r="D213" s="134"/>
      <c r="R213" s="4"/>
    </row>
    <row r="214" spans="4:18" x14ac:dyDescent="0.2">
      <c r="D214" s="134"/>
      <c r="R214" s="4"/>
    </row>
    <row r="215" spans="4:18" x14ac:dyDescent="0.2">
      <c r="D215" s="134"/>
      <c r="R215" s="4"/>
    </row>
    <row r="216" spans="4:18" x14ac:dyDescent="0.2">
      <c r="D216" s="134"/>
      <c r="R216" s="4"/>
    </row>
    <row r="217" spans="4:18" x14ac:dyDescent="0.2">
      <c r="D217" s="134"/>
      <c r="R217" s="4"/>
    </row>
    <row r="218" spans="4:18" x14ac:dyDescent="0.2">
      <c r="D218" s="134"/>
      <c r="R218" s="4"/>
    </row>
    <row r="219" spans="4:18" x14ac:dyDescent="0.2">
      <c r="D219" s="134"/>
      <c r="R219" s="4"/>
    </row>
    <row r="220" spans="4:18" x14ac:dyDescent="0.2">
      <c r="D220" s="134"/>
      <c r="R220" s="4"/>
    </row>
    <row r="221" spans="4:18" x14ac:dyDescent="0.2">
      <c r="D221" s="134"/>
      <c r="R221" s="4"/>
    </row>
    <row r="222" spans="4:18" x14ac:dyDescent="0.2">
      <c r="D222" s="134"/>
      <c r="R222" s="4"/>
    </row>
    <row r="223" spans="4:18" x14ac:dyDescent="0.2">
      <c r="D223" s="134"/>
      <c r="R223" s="4"/>
    </row>
    <row r="224" spans="4:18" x14ac:dyDescent="0.2">
      <c r="D224" s="134"/>
      <c r="R224" s="4"/>
    </row>
    <row r="225" spans="4:18" x14ac:dyDescent="0.2">
      <c r="D225" s="134"/>
      <c r="R225" s="4"/>
    </row>
    <row r="226" spans="4:18" x14ac:dyDescent="0.2">
      <c r="D226" s="134"/>
      <c r="R226" s="4"/>
    </row>
    <row r="227" spans="4:18" x14ac:dyDescent="0.2">
      <c r="D227" s="134"/>
      <c r="R227" s="4"/>
    </row>
    <row r="228" spans="4:18" x14ac:dyDescent="0.2">
      <c r="D228" s="134"/>
      <c r="R228" s="4"/>
    </row>
    <row r="229" spans="4:18" x14ac:dyDescent="0.2">
      <c r="D229" s="134"/>
      <c r="R229" s="4"/>
    </row>
    <row r="230" spans="4:18" x14ac:dyDescent="0.2">
      <c r="D230" s="134"/>
      <c r="R230" s="4"/>
    </row>
    <row r="231" spans="4:18" x14ac:dyDescent="0.2">
      <c r="D231" s="134"/>
      <c r="R231" s="4"/>
    </row>
    <row r="232" spans="4:18" x14ac:dyDescent="0.2">
      <c r="D232" s="134"/>
      <c r="R232" s="4"/>
    </row>
    <row r="233" spans="4:18" x14ac:dyDescent="0.2">
      <c r="D233" s="134"/>
      <c r="R233" s="4"/>
    </row>
    <row r="234" spans="4:18" x14ac:dyDescent="0.2">
      <c r="D234" s="134"/>
      <c r="R234" s="4"/>
    </row>
    <row r="235" spans="4:18" x14ac:dyDescent="0.2">
      <c r="D235" s="134"/>
      <c r="R235" s="4"/>
    </row>
    <row r="236" spans="4:18" x14ac:dyDescent="0.2">
      <c r="D236" s="134"/>
      <c r="R236" s="4"/>
    </row>
    <row r="237" spans="4:18" x14ac:dyDescent="0.2">
      <c r="D237" s="134"/>
      <c r="R237" s="4"/>
    </row>
    <row r="238" spans="4:18" x14ac:dyDescent="0.2">
      <c r="D238" s="134"/>
      <c r="R238" s="4"/>
    </row>
    <row r="239" spans="4:18" x14ac:dyDescent="0.2">
      <c r="D239" s="134"/>
      <c r="R239" s="4"/>
    </row>
    <row r="240" spans="4:18" x14ac:dyDescent="0.2">
      <c r="D240" s="134"/>
      <c r="R240" s="4"/>
    </row>
    <row r="241" spans="4:18" x14ac:dyDescent="0.2">
      <c r="D241" s="134"/>
      <c r="R241" s="4"/>
    </row>
    <row r="242" spans="4:18" x14ac:dyDescent="0.2">
      <c r="D242" s="134"/>
      <c r="R242" s="4"/>
    </row>
    <row r="243" spans="4:18" x14ac:dyDescent="0.2">
      <c r="D243" s="134"/>
      <c r="R243" s="4"/>
    </row>
    <row r="244" spans="4:18" x14ac:dyDescent="0.2">
      <c r="D244" s="134"/>
      <c r="R244" s="4"/>
    </row>
    <row r="245" spans="4:18" x14ac:dyDescent="0.2">
      <c r="D245" s="134"/>
      <c r="R245" s="4"/>
    </row>
    <row r="246" spans="4:18" x14ac:dyDescent="0.2">
      <c r="D246" s="134"/>
      <c r="R246" s="4"/>
    </row>
    <row r="247" spans="4:18" x14ac:dyDescent="0.2">
      <c r="D247" s="134"/>
      <c r="R247" s="4"/>
    </row>
    <row r="248" spans="4:18" x14ac:dyDescent="0.2">
      <c r="D248" s="134"/>
      <c r="R248" s="4"/>
    </row>
    <row r="249" spans="4:18" x14ac:dyDescent="0.2">
      <c r="D249" s="134"/>
      <c r="R249" s="4"/>
    </row>
    <row r="250" spans="4:18" x14ac:dyDescent="0.2">
      <c r="D250" s="134"/>
      <c r="R250" s="4"/>
    </row>
    <row r="251" spans="4:18" x14ac:dyDescent="0.2">
      <c r="D251" s="134"/>
      <c r="R251" s="4"/>
    </row>
    <row r="252" spans="4:18" x14ac:dyDescent="0.2">
      <c r="D252" s="134"/>
      <c r="R252" s="4"/>
    </row>
    <row r="253" spans="4:18" x14ac:dyDescent="0.2">
      <c r="D253" s="134"/>
      <c r="R253" s="4"/>
    </row>
    <row r="254" spans="4:18" x14ac:dyDescent="0.2">
      <c r="D254" s="134"/>
      <c r="R254" s="4"/>
    </row>
    <row r="255" spans="4:18" x14ac:dyDescent="0.2">
      <c r="D255" s="134"/>
      <c r="R255" s="4"/>
    </row>
    <row r="256" spans="4:18" x14ac:dyDescent="0.2">
      <c r="D256" s="134"/>
      <c r="R256" s="4"/>
    </row>
    <row r="257" spans="4:18" x14ac:dyDescent="0.2">
      <c r="D257" s="134"/>
      <c r="R257" s="4"/>
    </row>
    <row r="258" spans="4:18" x14ac:dyDescent="0.2">
      <c r="D258" s="134"/>
      <c r="R258" s="4"/>
    </row>
    <row r="259" spans="4:18" x14ac:dyDescent="0.2">
      <c r="D259" s="134"/>
      <c r="R259" s="4"/>
    </row>
    <row r="260" spans="4:18" x14ac:dyDescent="0.2">
      <c r="D260" s="134"/>
      <c r="R260" s="4"/>
    </row>
    <row r="261" spans="4:18" x14ac:dyDescent="0.2">
      <c r="D261" s="134"/>
      <c r="R261" s="4"/>
    </row>
    <row r="262" spans="4:18" x14ac:dyDescent="0.2">
      <c r="D262" s="134"/>
      <c r="R262" s="4"/>
    </row>
    <row r="263" spans="4:18" x14ac:dyDescent="0.2">
      <c r="D263" s="134"/>
      <c r="R263" s="4"/>
    </row>
    <row r="264" spans="4:18" x14ac:dyDescent="0.2">
      <c r="D264" s="134"/>
      <c r="R264" s="4"/>
    </row>
    <row r="265" spans="4:18" x14ac:dyDescent="0.2">
      <c r="D265" s="134"/>
      <c r="R265" s="4"/>
    </row>
    <row r="266" spans="4:18" x14ac:dyDescent="0.2">
      <c r="D266" s="134"/>
      <c r="R266" s="4"/>
    </row>
    <row r="267" spans="4:18" x14ac:dyDescent="0.2">
      <c r="D267" s="134"/>
      <c r="R267" s="4"/>
    </row>
    <row r="268" spans="4:18" x14ac:dyDescent="0.2">
      <c r="D268" s="134"/>
      <c r="R268" s="4"/>
    </row>
    <row r="269" spans="4:18" x14ac:dyDescent="0.2">
      <c r="D269" s="134"/>
      <c r="R269" s="4"/>
    </row>
    <row r="270" spans="4:18" x14ac:dyDescent="0.2">
      <c r="D270" s="134"/>
    </row>
    <row r="271" spans="4:18" x14ac:dyDescent="0.2">
      <c r="D271" s="134"/>
    </row>
    <row r="272" spans="4:18" x14ac:dyDescent="0.2">
      <c r="D272" s="134"/>
    </row>
    <row r="273" spans="4:4" x14ac:dyDescent="0.2">
      <c r="D273" s="134"/>
    </row>
    <row r="274" spans="4:4" x14ac:dyDescent="0.2">
      <c r="D274" s="134"/>
    </row>
  </sheetData>
  <mergeCells count="14">
    <mergeCell ref="E38:H38"/>
    <mergeCell ref="D36:F36"/>
    <mergeCell ref="D29:F29"/>
    <mergeCell ref="D30:F30"/>
    <mergeCell ref="D31:F31"/>
    <mergeCell ref="D32:F32"/>
    <mergeCell ref="D33:F33"/>
    <mergeCell ref="D34:F34"/>
    <mergeCell ref="D28:F28"/>
    <mergeCell ref="D2:G2"/>
    <mergeCell ref="I2:L2"/>
    <mergeCell ref="D25:G25"/>
    <mergeCell ref="D26:F26"/>
    <mergeCell ref="D27:F27"/>
  </mergeCells>
  <conditionalFormatting sqref="F18:F20">
    <cfRule type="colorScale" priority="8">
      <colorScale>
        <cfvo type="min"/>
        <cfvo type="num" val="0"/>
        <cfvo type="num" val="0"/>
        <color rgb="FF63BE7B"/>
        <color rgb="FFFFEB84"/>
        <color rgb="FFF8696B"/>
      </colorScale>
    </cfRule>
  </conditionalFormatting>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A7E32-BDD1-4124-B06B-7314B4AD60ED}">
  <sheetPr codeName="Tabelle6"/>
  <dimension ref="A1:IU274"/>
  <sheetViews>
    <sheetView topLeftCell="D1" workbookViewId="0">
      <selection activeCell="K20" sqref="K20"/>
    </sheetView>
  </sheetViews>
  <sheetFormatPr baseColWidth="10" defaultColWidth="25" defaultRowHeight="12.75" x14ac:dyDescent="0.2"/>
  <cols>
    <col min="1" max="1" width="14.7109375" style="1" customWidth="1"/>
    <col min="2" max="2" width="21.28515625" style="1" customWidth="1"/>
    <col min="3" max="3" width="17.5703125" style="2" customWidth="1"/>
    <col min="4" max="4" width="34.7109375" style="1" customWidth="1"/>
    <col min="5" max="5" width="25.5703125" style="1" customWidth="1"/>
    <col min="6" max="6" width="15.7109375" style="3" customWidth="1"/>
    <col min="7" max="7" width="66.7109375" style="1" customWidth="1"/>
    <col min="8" max="8" width="3.42578125" style="1" customWidth="1"/>
    <col min="9" max="9" width="15.28515625" style="1" customWidth="1"/>
    <col min="10" max="10" width="30" style="1" customWidth="1"/>
    <col min="11" max="11" width="14.28515625" style="1" customWidth="1"/>
    <col min="12" max="12" width="23.5703125" style="1" customWidth="1"/>
    <col min="13" max="13" width="15.5703125" style="1" customWidth="1"/>
    <col min="14" max="14" width="89" style="1" customWidth="1"/>
    <col min="15" max="17" width="25.7109375" style="3" customWidth="1"/>
    <col min="18" max="18" width="25.7109375" style="154" customWidth="1"/>
    <col min="19" max="21" width="2.5703125" style="1" customWidth="1"/>
    <col min="22" max="25" width="7.42578125" style="1" customWidth="1"/>
    <col min="26" max="16384" width="25" style="1"/>
  </cols>
  <sheetData>
    <row r="1" spans="1:25" ht="13.5" thickBot="1" x14ac:dyDescent="0.25">
      <c r="R1" s="4"/>
    </row>
    <row r="2" spans="1:25" ht="44.25" customHeight="1" thickBot="1" x14ac:dyDescent="0.25">
      <c r="A2" s="1" t="s">
        <v>0</v>
      </c>
      <c r="B2" s="5" t="s">
        <v>1</v>
      </c>
      <c r="C2" s="6"/>
      <c r="D2" s="806" t="s">
        <v>2</v>
      </c>
      <c r="E2" s="807"/>
      <c r="F2" s="807"/>
      <c r="G2" s="808"/>
      <c r="I2" s="806" t="s">
        <v>3</v>
      </c>
      <c r="J2" s="807"/>
      <c r="K2" s="807"/>
      <c r="L2" s="808"/>
      <c r="N2" s="7" t="s">
        <v>4</v>
      </c>
      <c r="R2" s="4"/>
    </row>
    <row r="3" spans="1:25" ht="18" customHeight="1" thickBot="1" x14ac:dyDescent="0.3">
      <c r="B3" s="8" t="s">
        <v>5</v>
      </c>
      <c r="C3" s="9" t="str">
        <f>'Calculator (for experts)'!E9</f>
        <v>M</v>
      </c>
      <c r="D3" s="8" t="str">
        <f>B2</f>
        <v xml:space="preserve"> </v>
      </c>
      <c r="E3" s="10"/>
      <c r="F3" s="11"/>
      <c r="G3" s="12"/>
      <c r="H3" s="13"/>
      <c r="I3" s="14"/>
      <c r="J3" s="15"/>
      <c r="K3" s="16"/>
      <c r="L3" s="17"/>
      <c r="N3" s="18"/>
      <c r="R3" s="4"/>
      <c r="V3" s="3" t="str">
        <f>LEFT('Calculator (for experts)'!P5,1)&amp;LEFT('Calculator (for experts)'!S5,1)</f>
        <v>HH</v>
      </c>
      <c r="W3" s="452" t="s">
        <v>334</v>
      </c>
      <c r="X3" s="452" t="s">
        <v>166</v>
      </c>
      <c r="Y3" s="452" t="s">
        <v>335</v>
      </c>
    </row>
    <row r="4" spans="1:25" ht="18" customHeight="1" thickBot="1" x14ac:dyDescent="0.3">
      <c r="B4" s="8" t="s">
        <v>6</v>
      </c>
      <c r="C4" s="9">
        <f>'Calculator (for experts)'!E10</f>
        <v>68</v>
      </c>
      <c r="D4" s="20" t="s">
        <v>1</v>
      </c>
      <c r="E4" s="21" t="s">
        <v>1</v>
      </c>
      <c r="F4" s="22"/>
      <c r="G4" s="12"/>
      <c r="H4" s="13"/>
      <c r="I4" s="23" t="s">
        <v>7</v>
      </c>
      <c r="J4" s="24" t="s">
        <v>8</v>
      </c>
      <c r="K4" s="25">
        <f>C4</f>
        <v>68</v>
      </c>
      <c r="L4" s="669">
        <f>F5</f>
        <v>68</v>
      </c>
      <c r="N4" s="1" t="s">
        <v>9</v>
      </c>
      <c r="O4" s="55">
        <f>IF(G22="",F17,G24)</f>
        <v>11.803050239041191</v>
      </c>
      <c r="P4" s="27" t="s">
        <v>10</v>
      </c>
      <c r="R4" s="4"/>
      <c r="V4" s="452" t="s">
        <v>334</v>
      </c>
      <c r="W4" s="454" t="str">
        <f>V4&amp;W3</f>
        <v>LL</v>
      </c>
      <c r="X4" s="453" t="str">
        <f>V4&amp;X3</f>
        <v>LM</v>
      </c>
      <c r="Y4" s="453" t="str">
        <f>V4&amp;Y3</f>
        <v>LH</v>
      </c>
    </row>
    <row r="5" spans="1:25" ht="18" customHeight="1" thickBot="1" x14ac:dyDescent="0.3">
      <c r="B5" s="8" t="s">
        <v>11</v>
      </c>
      <c r="C5" s="9">
        <f>'Calculator (for experts)'!E24</f>
        <v>170</v>
      </c>
      <c r="D5" s="28" t="s">
        <v>7</v>
      </c>
      <c r="E5" s="29" t="s">
        <v>12</v>
      </c>
      <c r="F5" s="30">
        <f>C4</f>
        <v>68</v>
      </c>
      <c r="G5" s="31">
        <f>G22</f>
        <v>68</v>
      </c>
      <c r="I5" s="32"/>
      <c r="J5" s="33" t="s">
        <v>13</v>
      </c>
      <c r="K5" s="34" t="str">
        <f>C3</f>
        <v>M</v>
      </c>
      <c r="L5" s="670" t="str">
        <f>F6</f>
        <v>M</v>
      </c>
      <c r="N5" s="1" t="s">
        <v>14</v>
      </c>
      <c r="O5" s="36">
        <f>0.46*F15*22</f>
        <v>20.240000000000002</v>
      </c>
      <c r="P5" s="27">
        <f>O4*0.6</f>
        <v>7.0818301434247148</v>
      </c>
      <c r="R5" s="4"/>
      <c r="V5" s="452" t="s">
        <v>166</v>
      </c>
      <c r="W5" s="453" t="str">
        <f>V5&amp;W3</f>
        <v>ML</v>
      </c>
      <c r="X5" s="454" t="str">
        <f>V5&amp;X3</f>
        <v>MM</v>
      </c>
      <c r="Y5" s="455" t="str">
        <f>V5&amp;Y3</f>
        <v>MH</v>
      </c>
    </row>
    <row r="6" spans="1:25" ht="18" customHeight="1" thickBot="1" x14ac:dyDescent="0.3">
      <c r="B6" s="37" t="s">
        <v>15</v>
      </c>
      <c r="C6" s="9">
        <v>60</v>
      </c>
      <c r="D6" s="38"/>
      <c r="E6" s="39" t="s">
        <v>16</v>
      </c>
      <c r="F6" s="40" t="str">
        <f>C3</f>
        <v>M</v>
      </c>
      <c r="G6" s="31" t="str">
        <f t="shared" ref="G6:G11" si="0">F6</f>
        <v>M</v>
      </c>
      <c r="I6" s="32"/>
      <c r="J6" s="33" t="s">
        <v>17</v>
      </c>
      <c r="K6" s="41" t="str">
        <f>C11</f>
        <v>Y</v>
      </c>
      <c r="L6" s="671" t="str">
        <f>F11</f>
        <v>N</v>
      </c>
      <c r="N6" s="1" t="s">
        <v>18</v>
      </c>
      <c r="O6" s="27">
        <f>0.6*F15*22</f>
        <v>26.4</v>
      </c>
      <c r="R6" s="4"/>
      <c r="V6" s="452" t="s">
        <v>335</v>
      </c>
      <c r="W6" s="453" t="str">
        <f>V6&amp;W3</f>
        <v>HL</v>
      </c>
      <c r="X6" s="455" t="str">
        <f>V6&amp;X3</f>
        <v>HM</v>
      </c>
      <c r="Y6" s="454" t="str">
        <f>V6&amp;Y3</f>
        <v>HH</v>
      </c>
    </row>
    <row r="7" spans="1:25" ht="18" customHeight="1" thickBot="1" x14ac:dyDescent="0.3">
      <c r="B7" s="8" t="s">
        <v>19</v>
      </c>
      <c r="C7" s="9">
        <v>124</v>
      </c>
      <c r="D7" s="38"/>
      <c r="E7" s="39" t="s">
        <v>20</v>
      </c>
      <c r="F7" s="42">
        <f>C8</f>
        <v>120</v>
      </c>
      <c r="G7" s="31">
        <f t="shared" si="0"/>
        <v>120</v>
      </c>
      <c r="I7" s="32"/>
      <c r="J7" s="33" t="s">
        <v>21</v>
      </c>
      <c r="K7" s="41">
        <f>C8</f>
        <v>120</v>
      </c>
      <c r="L7" s="669">
        <f>F7</f>
        <v>120</v>
      </c>
      <c r="N7" s="1" t="s">
        <v>22</v>
      </c>
      <c r="O7" s="27">
        <v>80</v>
      </c>
      <c r="R7" s="4"/>
    </row>
    <row r="8" spans="1:25" ht="18" customHeight="1" thickBot="1" x14ac:dyDescent="0.3">
      <c r="B8" s="43" t="s">
        <v>23</v>
      </c>
      <c r="C8" s="460">
        <v>120</v>
      </c>
      <c r="D8" s="20"/>
      <c r="E8" s="44" t="s">
        <v>24</v>
      </c>
      <c r="F8" s="45" t="str">
        <f>C9</f>
        <v>n</v>
      </c>
      <c r="G8" s="31" t="str">
        <f t="shared" si="0"/>
        <v>n</v>
      </c>
      <c r="I8" s="46"/>
      <c r="J8" s="47" t="s">
        <v>24</v>
      </c>
      <c r="K8" s="48" t="str">
        <f>C9</f>
        <v>n</v>
      </c>
      <c r="L8" s="669" t="str">
        <f>F8</f>
        <v>n</v>
      </c>
      <c r="N8" s="1" t="s">
        <v>25</v>
      </c>
      <c r="O8" s="36">
        <f>0.2*F15*21</f>
        <v>8.4</v>
      </c>
      <c r="R8" s="4"/>
    </row>
    <row r="9" spans="1:25" ht="18" customHeight="1" thickBot="1" x14ac:dyDescent="0.3">
      <c r="B9" s="8" t="s">
        <v>26</v>
      </c>
      <c r="C9" s="9" t="s">
        <v>539</v>
      </c>
      <c r="D9" s="38"/>
      <c r="E9" s="49"/>
      <c r="F9" s="50"/>
      <c r="G9" s="31" t="s">
        <v>1</v>
      </c>
      <c r="I9" s="32"/>
      <c r="J9" s="51"/>
      <c r="K9" s="52"/>
      <c r="L9" s="26"/>
      <c r="N9" s="1" t="s">
        <v>28</v>
      </c>
      <c r="O9" s="36">
        <v>0.37</v>
      </c>
      <c r="Q9" s="53"/>
      <c r="R9" s="4"/>
      <c r="V9" s="457" t="s">
        <v>336</v>
      </c>
      <c r="W9" s="1" t="s">
        <v>526</v>
      </c>
    </row>
    <row r="10" spans="1:25" ht="18" customHeight="1" thickBot="1" x14ac:dyDescent="0.3">
      <c r="B10" s="8" t="s">
        <v>29</v>
      </c>
      <c r="C10" s="9" t="str">
        <f>'Calculator (for experts)'!E13</f>
        <v>Y</v>
      </c>
      <c r="D10" s="28" t="s">
        <v>30</v>
      </c>
      <c r="E10" s="29" t="s">
        <v>31</v>
      </c>
      <c r="F10" s="54" t="s">
        <v>167</v>
      </c>
      <c r="G10" s="31" t="str">
        <f t="shared" si="0"/>
        <v>N</v>
      </c>
      <c r="I10" s="23" t="s">
        <v>30</v>
      </c>
      <c r="J10" s="24" t="s">
        <v>31</v>
      </c>
      <c r="K10" s="25" t="str">
        <f>C10</f>
        <v>Y</v>
      </c>
      <c r="L10" s="669" t="str">
        <f>K10</f>
        <v>Y</v>
      </c>
      <c r="N10" s="1" t="s">
        <v>32</v>
      </c>
      <c r="O10" s="55">
        <v>1.37</v>
      </c>
      <c r="R10" s="4"/>
      <c r="V10" s="458" t="s">
        <v>337</v>
      </c>
      <c r="W10" s="1" t="s">
        <v>527</v>
      </c>
    </row>
    <row r="11" spans="1:25" ht="18" customHeight="1" thickBot="1" x14ac:dyDescent="0.3">
      <c r="B11" s="8" t="s">
        <v>33</v>
      </c>
      <c r="C11" s="9" t="str">
        <f>'Calculator (for experts)'!E14</f>
        <v>Y</v>
      </c>
      <c r="D11" s="20"/>
      <c r="E11" s="44" t="s">
        <v>17</v>
      </c>
      <c r="F11" s="56" t="s">
        <v>167</v>
      </c>
      <c r="G11" s="31" t="str">
        <f t="shared" si="0"/>
        <v>N</v>
      </c>
      <c r="I11" s="32"/>
      <c r="J11" s="33" t="s">
        <v>34</v>
      </c>
      <c r="K11" s="41" t="str">
        <f>C12</f>
        <v>N</v>
      </c>
      <c r="L11" s="669" t="str">
        <f>K11</f>
        <v>N</v>
      </c>
      <c r="N11" s="1" t="s">
        <v>35</v>
      </c>
      <c r="O11" s="55">
        <v>19.91</v>
      </c>
      <c r="R11" s="4"/>
      <c r="V11" s="458" t="s">
        <v>338</v>
      </c>
      <c r="W11" s="1" t="s">
        <v>527</v>
      </c>
    </row>
    <row r="12" spans="1:25" ht="18" customHeight="1" thickBot="1" x14ac:dyDescent="0.3">
      <c r="B12" s="8" t="s">
        <v>36</v>
      </c>
      <c r="C12" s="9" t="str">
        <f>'Calculator (for experts)'!E20</f>
        <v>N</v>
      </c>
      <c r="D12" s="38"/>
      <c r="E12" s="49"/>
      <c r="F12" s="50"/>
      <c r="G12" s="31" t="s">
        <v>1</v>
      </c>
      <c r="I12" s="32"/>
      <c r="J12" s="33" t="s">
        <v>37</v>
      </c>
      <c r="K12" s="41" t="str">
        <f>C14</f>
        <v>N</v>
      </c>
      <c r="L12" s="669" t="str">
        <f>K12</f>
        <v>N</v>
      </c>
      <c r="N12" s="1" t="s">
        <v>38</v>
      </c>
      <c r="O12" s="57">
        <v>191494</v>
      </c>
      <c r="R12" s="4"/>
      <c r="V12" s="458" t="s">
        <v>339</v>
      </c>
      <c r="W12" s="1" t="s">
        <v>527</v>
      </c>
    </row>
    <row r="13" spans="1:25" ht="18" customHeight="1" thickBot="1" x14ac:dyDescent="0.3">
      <c r="B13" s="8" t="s">
        <v>39</v>
      </c>
      <c r="C13" s="9" t="str">
        <f>'Calculator (for experts)'!E21</f>
        <v>Y</v>
      </c>
      <c r="D13" s="28" t="s">
        <v>40</v>
      </c>
      <c r="E13" s="29" t="s">
        <v>41</v>
      </c>
      <c r="F13" s="58">
        <f>C17</f>
        <v>1.5</v>
      </c>
      <c r="G13" s="31">
        <f>F13</f>
        <v>1.5</v>
      </c>
      <c r="I13" s="32"/>
      <c r="J13" s="33" t="s">
        <v>42</v>
      </c>
      <c r="K13" s="41" t="str">
        <f>C15</f>
        <v>n</v>
      </c>
      <c r="L13" s="669" t="str">
        <f>K13</f>
        <v>n</v>
      </c>
      <c r="M13" s="1" t="s">
        <v>1</v>
      </c>
      <c r="N13" s="59" t="s">
        <v>4</v>
      </c>
      <c r="O13" s="60" t="s">
        <v>43</v>
      </c>
      <c r="P13" s="60"/>
      <c r="Q13" s="60" t="s">
        <v>45</v>
      </c>
      <c r="R13" s="61" t="s">
        <v>46</v>
      </c>
      <c r="V13" s="457" t="s">
        <v>340</v>
      </c>
      <c r="W13" s="1" t="s">
        <v>526</v>
      </c>
    </row>
    <row r="14" spans="1:25" ht="18" customHeight="1" thickBot="1" x14ac:dyDescent="0.3">
      <c r="B14" s="8" t="s">
        <v>47</v>
      </c>
      <c r="C14" s="9" t="str">
        <f>'Calculator (for experts)'!E22</f>
        <v>N</v>
      </c>
      <c r="D14" s="38"/>
      <c r="E14" s="39" t="s">
        <v>48</v>
      </c>
      <c r="F14" s="62">
        <f>C16</f>
        <v>4</v>
      </c>
      <c r="G14" s="31">
        <f>F14</f>
        <v>4</v>
      </c>
      <c r="I14" s="46"/>
      <c r="J14" s="47" t="s">
        <v>49</v>
      </c>
      <c r="K14" s="48" t="str">
        <f>C13</f>
        <v>Y</v>
      </c>
      <c r="L14" s="669" t="str">
        <f>K14</f>
        <v>Y</v>
      </c>
      <c r="O14" s="63"/>
      <c r="P14" s="63"/>
      <c r="Q14" s="63"/>
      <c r="R14" s="64"/>
      <c r="V14" s="456" t="s">
        <v>341</v>
      </c>
      <c r="W14" s="1" t="s">
        <v>527</v>
      </c>
    </row>
    <row r="15" spans="1:25" ht="18" customHeight="1" thickBot="1" x14ac:dyDescent="0.3">
      <c r="B15" s="37" t="s">
        <v>50</v>
      </c>
      <c r="C15" s="9" t="s">
        <v>539</v>
      </c>
      <c r="D15" s="20"/>
      <c r="E15" s="44" t="s">
        <v>51</v>
      </c>
      <c r="F15" s="65">
        <v>2</v>
      </c>
      <c r="G15" s="31">
        <f>F15</f>
        <v>2</v>
      </c>
      <c r="I15" s="32"/>
      <c r="J15" s="51"/>
      <c r="K15" s="52"/>
      <c r="L15" s="26"/>
      <c r="N15" s="1" t="s">
        <v>52</v>
      </c>
      <c r="O15" s="63">
        <f>$O$4</f>
        <v>11.803050239041191</v>
      </c>
      <c r="P15" s="63"/>
      <c r="Q15" s="63">
        <f>$O$4</f>
        <v>11.803050239041191</v>
      </c>
      <c r="R15" s="64">
        <f>$O$4</f>
        <v>11.803050239041191</v>
      </c>
      <c r="V15" s="458" t="s">
        <v>342</v>
      </c>
      <c r="W15" s="1" t="s">
        <v>527</v>
      </c>
    </row>
    <row r="16" spans="1:25" ht="18" customHeight="1" thickBot="1" x14ac:dyDescent="0.3">
      <c r="B16" s="43" t="s">
        <v>53</v>
      </c>
      <c r="C16" s="9">
        <v>4</v>
      </c>
      <c r="D16" s="38"/>
      <c r="E16" s="67"/>
      <c r="F16" s="68"/>
      <c r="G16" s="69" t="s">
        <v>54</v>
      </c>
      <c r="I16" s="32" t="s">
        <v>40</v>
      </c>
      <c r="J16" s="51" t="s">
        <v>41</v>
      </c>
      <c r="K16" s="70">
        <f>C17</f>
        <v>1.5</v>
      </c>
      <c r="L16" s="26">
        <v>1.5</v>
      </c>
      <c r="N16" s="1" t="s">
        <v>163</v>
      </c>
      <c r="O16" s="63">
        <f>'Calculator (for experts)'!E17</f>
        <v>2.9</v>
      </c>
      <c r="P16" s="63"/>
      <c r="Q16" s="63">
        <f>'Calculator (for experts)'!E17</f>
        <v>2.9</v>
      </c>
      <c r="R16" s="64">
        <f>'Calculator (for experts)'!E17</f>
        <v>2.9</v>
      </c>
      <c r="V16" s="456" t="s">
        <v>343</v>
      </c>
      <c r="W16" s="1" t="s">
        <v>527</v>
      </c>
    </row>
    <row r="17" spans="2:255" ht="18" customHeight="1" thickBot="1" x14ac:dyDescent="0.3">
      <c r="B17" s="8" t="s">
        <v>56</v>
      </c>
      <c r="C17" s="9">
        <v>1.5</v>
      </c>
      <c r="D17" s="71" t="s">
        <v>57</v>
      </c>
      <c r="E17" s="72" t="s">
        <v>58</v>
      </c>
      <c r="F17" s="73">
        <f>'Calculator (for experts)'!E42*(100*IF(F6="M",(1-POWER(0.88936,EXP((3.06117*LN(F5)+1.1237*LN(F14*38.66)-0.93263*LN(F13*38.66)+(IF(F8="N",1.93303*LN(F7),1.99881*LN(F7)))+(IF(F11="N",0,0.65451))+(IF(F10="N",0,0.57367)))-23.9802))),(1-POWER(0.95012,EXP((2.32888*LN(F5)+1.20904*LN(F14*38.66)-0.70833*LN(F13*38.66)+(IF(F8="N",2.76157*LN(F7),2.82263*LN(F7)))+(IF(F11="N",0,0.52873))+(IF(F10="N",0,0.69154)))-26.1931)))))</f>
        <v>11.803050239041191</v>
      </c>
      <c r="G17" s="74">
        <f>(F17*0.6)*0.7</f>
        <v>4.9572811003973003</v>
      </c>
      <c r="I17" s="32"/>
      <c r="J17" s="51" t="s">
        <v>48</v>
      </c>
      <c r="K17" s="34">
        <f>C16</f>
        <v>4</v>
      </c>
      <c r="L17" s="26">
        <v>4</v>
      </c>
      <c r="N17" s="1" t="s">
        <v>446</v>
      </c>
      <c r="O17" s="63">
        <f>O16*0.8</f>
        <v>2.3199999999999998</v>
      </c>
      <c r="P17" s="63"/>
      <c r="Q17" s="63">
        <f>Q16/2</f>
        <v>1.45</v>
      </c>
      <c r="R17" s="63">
        <f>R16*0.65</f>
        <v>1.885</v>
      </c>
      <c r="V17" s="457" t="s">
        <v>344</v>
      </c>
      <c r="W17" s="1" t="s">
        <v>526</v>
      </c>
    </row>
    <row r="18" spans="2:255" ht="18" customHeight="1" thickBot="1" x14ac:dyDescent="0.3">
      <c r="B18" s="8" t="s">
        <v>60</v>
      </c>
      <c r="C18" s="460">
        <v>1.8</v>
      </c>
      <c r="D18" s="38"/>
      <c r="E18" s="75"/>
      <c r="F18" s="76"/>
      <c r="G18" s="69" t="s">
        <v>62</v>
      </c>
      <c r="I18" s="32"/>
      <c r="J18" s="51" t="s">
        <v>63</v>
      </c>
      <c r="K18" s="459">
        <f>IF(G32&lt;30,30,IF(G32&gt;75,75,G32))</f>
        <v>53.136000000000003</v>
      </c>
      <c r="L18" s="26">
        <v>46</v>
      </c>
      <c r="N18" s="1" t="s">
        <v>435</v>
      </c>
      <c r="O18" s="63">
        <f>O17*0.2</f>
        <v>0.46399999999999997</v>
      </c>
      <c r="P18" s="63"/>
      <c r="Q18" s="63">
        <f>Q17*0.22</f>
        <v>0.31900000000000001</v>
      </c>
      <c r="R18" s="63">
        <f>R17*0.22</f>
        <v>0.41470000000000001</v>
      </c>
    </row>
    <row r="19" spans="2:255" ht="18" customHeight="1" x14ac:dyDescent="0.25">
      <c r="B19" s="8" t="s">
        <v>65</v>
      </c>
      <c r="C19" s="9">
        <f>'Calculator (for experts)'!E27</f>
        <v>100</v>
      </c>
      <c r="D19" s="38"/>
      <c r="E19" s="75"/>
      <c r="F19" s="77"/>
      <c r="G19" s="74">
        <f>ROUND(ROUND(IF(F15&lt;0.8,IF(F6="F",1.5,1.1),IF(F15&gt;1.8,0.6,IF(F6="F",3.0306*EXP(-0.917*F15),(-0.5*F15)+1.5))),2)*(1-((POWER((EXP(-(EXP((IF(F6="M",-22.1,-29.8)))*(POWER(F5-10,IF(F6="M",4.71,6.36)))))),EXP((0.24*(F14-6))+(0.018*(F7-120))+(0.71*(IF(F11="N",0,1))))))/(POWER((EXP(-(EXP((IF(F6="M",-22.1,-29.8)))*(POWER(F5-20,IF(F6="M",4.71,6.36)))))),EXP((0.24*(F14-6))+(0.018*(F7-120))+(0.71*(IF(F11="N",0,1))))))))*100,2)+ROUND(ROUND(IF(F15&lt;0.8,IF(F6="F",1.5,1.1),IF(F15&gt;1.8,0.6,IF(F6="F",3.0306*EXP(-0.917*F15),(-0.5*F15)+1.5))),2)*(1-((POWER((EXP(-(EXP((IF(F6="M",-26.7,-31)))*(POWER(F5-10,IF(F6="M",5.64,6.62)))))),EXP((0.02*(F14-6))+(0.022*(F7-120))+(0.63*(IF(F11="N",0,1))))))/(POWER((EXP(-(EXP((IF(F6="M",-26.7,-31)))*(POWER(F5-20,IF(F6="M",5.64,6.62)))))),EXP((0.02*(F14-6))+(0.022*(F7-120))+(0.63*(IF(F11="N",0,1))))))))*100,2)</f>
        <v>1.9500000000000002</v>
      </c>
      <c r="I19" s="32"/>
      <c r="J19" s="51" t="s">
        <v>51</v>
      </c>
      <c r="K19" s="78">
        <f>C18</f>
        <v>1.8</v>
      </c>
      <c r="L19" s="26">
        <v>1.8</v>
      </c>
      <c r="N19" s="1" t="s">
        <v>164</v>
      </c>
      <c r="O19" s="63">
        <f>O15-(O15*O18)</f>
        <v>6.326434928126079</v>
      </c>
      <c r="P19" s="63"/>
      <c r="Q19" s="63">
        <f>Q15-(Q15*Q18)</f>
        <v>8.0378772127870519</v>
      </c>
      <c r="R19" s="563">
        <f>R15-(R15*R18)</f>
        <v>6.9083253049108091</v>
      </c>
    </row>
    <row r="20" spans="2:255" ht="18" customHeight="1" x14ac:dyDescent="0.25">
      <c r="B20" s="43" t="s">
        <v>71</v>
      </c>
      <c r="C20" s="66">
        <v>3.7</v>
      </c>
      <c r="D20" s="38"/>
      <c r="E20" s="75"/>
      <c r="F20" s="81"/>
      <c r="G20" s="82">
        <f>Q19</f>
        <v>8.0378772127870519</v>
      </c>
      <c r="I20" s="83" t="s">
        <v>73</v>
      </c>
      <c r="J20" s="84" t="s">
        <v>1</v>
      </c>
      <c r="K20" s="85">
        <f>2*(1-POWER(0.914,EXP((-0.0478*K4)+(0.000515*(K4^2))+IF(K5="F",0,0.3147)+IF(K11="N",0,0.4097)+IF(K12="N",0,0.2263)+IF(K13="N",0,0.4694)+IF(K14="N",0,0.6172)+IF(K10="N",0,0.4318)+IF(K6="N",0,0.5379)+(0.00419*(K17*38.66))-(0.013*(K16*38.66))-(0.0605*K18)+(0.000419*(K18^2))+(0.00371*K7)+IF(K8="N",0,K7*0.00254)+1.5106)))</f>
        <v>0.37971343414097092</v>
      </c>
      <c r="L20" s="85">
        <f>2*(1-POWER(0.914,EXP((-0.0478*L4)+(0.000515*(L4^2))+IF(L5="F",0,0.3147)+IF(L11="N",0,0.4097)+IF(L12="N",0,0.2263)+IF(L13="N",0,0.4694)+IF(L14="N",0,0.6172)+IF(L10="N",0,0.4318)+IF(L6="N",0,0.5379)+(0.00419*(L17*38.66))-(0.013*(L16*38.66))-(0.0605*L18)+(0.000419*(L18^2))+(0.00371*L7)+IF(L8="N",0,L7*0.00254)+1.5106)))</f>
        <v>0.26261717493821024</v>
      </c>
      <c r="N20" s="1" t="s">
        <v>67</v>
      </c>
      <c r="O20" s="63">
        <f>100/(O15-O19)</f>
        <v>18.259453023968295</v>
      </c>
      <c r="P20" s="63"/>
      <c r="Q20" s="63">
        <f>100/(Q15-Q19)</f>
        <v>26.55920439849934</v>
      </c>
      <c r="R20" s="63">
        <f>100/(R15-R19)</f>
        <v>20.430157229614871</v>
      </c>
    </row>
    <row r="21" spans="2:255" ht="18" customHeight="1" x14ac:dyDescent="0.25">
      <c r="B21" s="8" t="s">
        <v>74</v>
      </c>
      <c r="C21" s="19">
        <v>68</v>
      </c>
      <c r="D21" s="87" t="s">
        <v>1</v>
      </c>
      <c r="E21" s="88"/>
      <c r="F21" s="68"/>
      <c r="G21" s="89" t="s">
        <v>1</v>
      </c>
      <c r="I21" s="23" t="s">
        <v>61</v>
      </c>
      <c r="J21" s="90"/>
      <c r="K21" s="91">
        <f>O92</f>
        <v>57467.966895397345</v>
      </c>
      <c r="L21" s="26"/>
      <c r="N21" s="1" t="s">
        <v>165</v>
      </c>
      <c r="O21" s="63">
        <f>O16-O17</f>
        <v>0.58000000000000007</v>
      </c>
      <c r="P21" s="63"/>
      <c r="Q21" s="63">
        <f>Q16-Q17</f>
        <v>1.45</v>
      </c>
      <c r="R21" s="63">
        <f>R16-R17</f>
        <v>1.0149999999999999</v>
      </c>
    </row>
    <row r="22" spans="2:255" ht="18" customHeight="1" thickBot="1" x14ac:dyDescent="0.3">
      <c r="B22" s="37" t="s">
        <v>76</v>
      </c>
      <c r="C22" s="92">
        <v>78</v>
      </c>
      <c r="D22" s="819" t="s">
        <v>535</v>
      </c>
      <c r="E22" s="820"/>
      <c r="F22" s="613" t="s">
        <v>68</v>
      </c>
      <c r="G22" s="614">
        <f>C4</f>
        <v>68</v>
      </c>
      <c r="I22" s="32" t="s">
        <v>66</v>
      </c>
      <c r="J22" s="96"/>
      <c r="K22" s="97">
        <f>P92</f>
        <v>672563.70212079922</v>
      </c>
      <c r="L22" s="26"/>
      <c r="N22" s="1" t="s">
        <v>434</v>
      </c>
      <c r="O22" s="63">
        <f>O19-(O19*0.24)</f>
        <v>4.80809054537582</v>
      </c>
      <c r="P22" s="63"/>
      <c r="Q22" s="63">
        <f>Q19-(Q19*0.24)</f>
        <v>6.1087866817181595</v>
      </c>
      <c r="R22" s="565">
        <f>R19-(R19*0.24)</f>
        <v>5.2503272317322152</v>
      </c>
    </row>
    <row r="23" spans="2:255" ht="18" customHeight="1" thickBot="1" x14ac:dyDescent="0.3">
      <c r="B23" s="37" t="s">
        <v>78</v>
      </c>
      <c r="C23" s="92" t="s">
        <v>1</v>
      </c>
      <c r="D23" s="98"/>
      <c r="E23" s="67"/>
      <c r="F23" s="68"/>
      <c r="G23" s="99"/>
      <c r="I23" s="32" t="s">
        <v>69</v>
      </c>
      <c r="J23" s="96"/>
      <c r="K23" s="97">
        <f>Q92</f>
        <v>-36756.584084014059</v>
      </c>
      <c r="L23" s="26"/>
      <c r="N23" s="1" t="s">
        <v>441</v>
      </c>
      <c r="O23" s="63">
        <f>O4-(O4*0.24)</f>
        <v>8.9703181816713062</v>
      </c>
      <c r="P23" s="63" t="s">
        <v>1</v>
      </c>
      <c r="Q23" s="63">
        <f>O4-(O4*0.24)</f>
        <v>8.9703181816713062</v>
      </c>
      <c r="R23" s="564">
        <f>O4-(O4*0.24)</f>
        <v>8.9703181816713062</v>
      </c>
    </row>
    <row r="24" spans="2:255" ht="18" customHeight="1" thickBot="1" x14ac:dyDescent="0.3">
      <c r="B24" s="37" t="s">
        <v>80</v>
      </c>
      <c r="C24" s="100">
        <f>C6/(C5/100)^2</f>
        <v>20.761245674740486</v>
      </c>
      <c r="D24" s="101" t="s">
        <v>81</v>
      </c>
      <c r="E24" s="102"/>
      <c r="F24" s="103"/>
      <c r="G24" s="104">
        <f>(IFERROR(100*IF(F6="M",(1-POWER(0.88936,EXP((3.06117*LN(G22)+1.1237*LN(F14*38.66)-0.93263*LN(F13*38.66)+(IF(F8="N",1.93303*LN(F7),1.99881*LN(F7)))+(IF(F11="N",0,0.65451))+(IF(F10="N",0,0.57367)))-23.9802))),(1-POWER(0.95012,EXP((2.32888*LN(G22)+1.20904*LN(F14*38.66)-0.70833*LN(F13*38.66)+(IF(F8="N",2.76157*LN(F7),2.82263*LN(F7)))+(IF(F11="N",0,0.52873))+(IF(F10="N",0,0.69154)))-26.1931)))),""))*'Calculator (for experts)'!R22</f>
        <v>11.803050239041191</v>
      </c>
      <c r="I24" s="105" t="s">
        <v>72</v>
      </c>
      <c r="J24" s="106"/>
      <c r="K24" s="107">
        <f>R92</f>
        <v>-3881.2373602836451</v>
      </c>
      <c r="L24" s="108"/>
      <c r="N24" s="1" t="s">
        <v>439</v>
      </c>
      <c r="O24" s="63">
        <f>O16-O17</f>
        <v>0.58000000000000007</v>
      </c>
      <c r="P24" s="63"/>
      <c r="Q24" s="63">
        <f>Q16-Q17</f>
        <v>1.45</v>
      </c>
      <c r="R24" s="63">
        <f>R16-R17</f>
        <v>1.0149999999999999</v>
      </c>
    </row>
    <row r="25" spans="2:255" ht="42.75" customHeight="1" thickBot="1" x14ac:dyDescent="0.25">
      <c r="B25" s="109" t="s">
        <v>83</v>
      </c>
      <c r="D25" s="809" t="s">
        <v>84</v>
      </c>
      <c r="E25" s="810"/>
      <c r="F25" s="810"/>
      <c r="G25" s="811"/>
      <c r="H25" s="110"/>
      <c r="I25" s="1" t="s">
        <v>85</v>
      </c>
      <c r="J25" s="1">
        <v>2.6</v>
      </c>
      <c r="K25" s="1">
        <f>F17*J25</f>
        <v>30.687930621507096</v>
      </c>
      <c r="L25" s="111">
        <f>IF(C3="M",1.23,1.04)</f>
        <v>1.23</v>
      </c>
      <c r="N25" s="1" t="s">
        <v>1</v>
      </c>
      <c r="O25" s="60"/>
      <c r="P25" s="60"/>
      <c r="Q25" s="60"/>
      <c r="R25" s="61"/>
    </row>
    <row r="26" spans="2:255" ht="18" customHeight="1" x14ac:dyDescent="0.25">
      <c r="B26" s="111" t="s">
        <v>90</v>
      </c>
      <c r="C26" s="112">
        <f>G24</f>
        <v>11.803050239041191</v>
      </c>
      <c r="D26" s="812" t="s">
        <v>91</v>
      </c>
      <c r="E26" s="813"/>
      <c r="F26" s="813"/>
      <c r="G26" s="113">
        <f>C21*C22/1000</f>
        <v>5.3040000000000003</v>
      </c>
      <c r="H26" s="114"/>
      <c r="I26" s="1" t="s">
        <v>92</v>
      </c>
      <c r="J26" s="1">
        <v>3</v>
      </c>
      <c r="K26" s="1">
        <f>F17*J26</f>
        <v>35.409150717123573</v>
      </c>
      <c r="L26" s="115"/>
      <c r="N26" s="59" t="s">
        <v>444</v>
      </c>
      <c r="O26" s="63">
        <f>K20*100</f>
        <v>37.971343414097092</v>
      </c>
      <c r="P26" s="57"/>
      <c r="Q26" s="57"/>
      <c r="R26" s="116"/>
      <c r="S26" s="57"/>
      <c r="T26" s="57"/>
      <c r="U26" s="57"/>
      <c r="V26" s="57"/>
      <c r="W26" s="57"/>
      <c r="X26" s="57"/>
      <c r="Y26" s="59"/>
      <c r="Z26" s="57"/>
      <c r="AA26" s="57"/>
      <c r="AB26" s="57"/>
      <c r="AC26" s="57"/>
      <c r="AD26" s="59"/>
      <c r="AE26" s="57"/>
      <c r="AF26" s="57"/>
      <c r="AG26" s="57"/>
      <c r="AH26" s="57"/>
      <c r="AI26" s="59"/>
      <c r="AJ26" s="57"/>
      <c r="AK26" s="57"/>
      <c r="AL26" s="57"/>
      <c r="AM26" s="57"/>
      <c r="AN26" s="59"/>
      <c r="AO26" s="57"/>
      <c r="AP26" s="57"/>
      <c r="AQ26" s="57"/>
      <c r="AR26" s="57"/>
      <c r="AS26" s="59"/>
      <c r="AT26" s="57"/>
      <c r="AU26" s="57"/>
      <c r="AV26" s="57"/>
      <c r="AW26" s="57"/>
      <c r="AX26" s="59"/>
      <c r="AY26" s="57"/>
      <c r="AZ26" s="57"/>
      <c r="BA26" s="57"/>
      <c r="BB26" s="57"/>
      <c r="BC26" s="59"/>
      <c r="BD26" s="57"/>
      <c r="BE26" s="57"/>
      <c r="BF26" s="57"/>
      <c r="BG26" s="57"/>
      <c r="BH26" s="59"/>
      <c r="BI26" s="57"/>
      <c r="BJ26" s="57"/>
      <c r="BK26" s="57"/>
      <c r="BL26" s="57"/>
      <c r="BM26" s="59"/>
      <c r="BN26" s="57"/>
      <c r="BO26" s="57"/>
      <c r="BP26" s="57"/>
      <c r="BQ26" s="57"/>
      <c r="BR26" s="59"/>
      <c r="BS26" s="57"/>
      <c r="BT26" s="57"/>
      <c r="BU26" s="57"/>
      <c r="BV26" s="57"/>
      <c r="BW26" s="59"/>
      <c r="BX26" s="57"/>
      <c r="BY26" s="57"/>
      <c r="BZ26" s="57"/>
      <c r="CA26" s="57"/>
      <c r="CB26" s="59"/>
      <c r="CC26" s="57"/>
      <c r="CD26" s="57"/>
      <c r="CE26" s="57"/>
      <c r="CF26" s="57"/>
      <c r="CG26" s="59"/>
      <c r="CH26" s="57"/>
      <c r="CI26" s="57"/>
      <c r="CJ26" s="57"/>
      <c r="CK26" s="57"/>
      <c r="CL26" s="59"/>
      <c r="CM26" s="57"/>
      <c r="CN26" s="57"/>
      <c r="CO26" s="57"/>
      <c r="CP26" s="57"/>
      <c r="CQ26" s="59"/>
      <c r="CR26" s="57"/>
      <c r="CS26" s="57"/>
      <c r="CT26" s="57"/>
      <c r="CU26" s="57"/>
      <c r="CV26" s="59"/>
      <c r="CW26" s="57"/>
      <c r="CX26" s="57"/>
      <c r="CY26" s="57"/>
      <c r="CZ26" s="57"/>
      <c r="DA26" s="59"/>
      <c r="DB26" s="57"/>
      <c r="DC26" s="57"/>
      <c r="DD26" s="57"/>
      <c r="DE26" s="57"/>
      <c r="DF26" s="59"/>
      <c r="DG26" s="57"/>
      <c r="DH26" s="57"/>
      <c r="DI26" s="57"/>
      <c r="DJ26" s="57"/>
      <c r="DK26" s="59"/>
      <c r="DL26" s="57"/>
      <c r="DM26" s="57"/>
      <c r="DN26" s="57"/>
      <c r="DO26" s="57"/>
      <c r="DP26" s="59"/>
      <c r="DQ26" s="57"/>
      <c r="DR26" s="57"/>
      <c r="DS26" s="57"/>
      <c r="DT26" s="57"/>
      <c r="DU26" s="59"/>
      <c r="DV26" s="57"/>
      <c r="DW26" s="57"/>
      <c r="DX26" s="57"/>
      <c r="DY26" s="57"/>
      <c r="DZ26" s="59"/>
      <c r="EA26" s="57"/>
      <c r="EB26" s="57"/>
      <c r="EC26" s="57"/>
      <c r="ED26" s="57"/>
      <c r="EE26" s="59"/>
      <c r="EF26" s="57"/>
      <c r="EG26" s="57"/>
      <c r="EH26" s="57"/>
      <c r="EI26" s="57"/>
      <c r="EJ26" s="59"/>
      <c r="EK26" s="57"/>
      <c r="EL26" s="57"/>
      <c r="EM26" s="57"/>
      <c r="EN26" s="57"/>
      <c r="EO26" s="59"/>
      <c r="EP26" s="57"/>
      <c r="EQ26" s="57"/>
      <c r="ER26" s="57"/>
      <c r="ES26" s="57"/>
      <c r="ET26" s="59"/>
      <c r="EU26" s="57"/>
      <c r="EV26" s="57"/>
      <c r="EW26" s="57"/>
      <c r="EX26" s="57"/>
      <c r="EY26" s="59"/>
      <c r="EZ26" s="57"/>
      <c r="FA26" s="57"/>
      <c r="FB26" s="57"/>
      <c r="FC26" s="57"/>
      <c r="FD26" s="59"/>
      <c r="FE26" s="57"/>
      <c r="FF26" s="57"/>
      <c r="FG26" s="57"/>
      <c r="FH26" s="57"/>
      <c r="FI26" s="59"/>
      <c r="FJ26" s="57"/>
      <c r="FK26" s="57"/>
      <c r="FL26" s="57"/>
      <c r="FM26" s="57"/>
      <c r="FN26" s="59"/>
      <c r="FO26" s="57"/>
      <c r="FP26" s="57"/>
      <c r="FQ26" s="57"/>
      <c r="FR26" s="57"/>
      <c r="FS26" s="59"/>
      <c r="FT26" s="57"/>
      <c r="FU26" s="57"/>
      <c r="FV26" s="57"/>
      <c r="FW26" s="57"/>
      <c r="FX26" s="59"/>
      <c r="FY26" s="57"/>
      <c r="FZ26" s="57"/>
      <c r="GA26" s="57"/>
      <c r="GB26" s="57"/>
      <c r="GC26" s="59"/>
      <c r="GD26" s="57"/>
      <c r="GE26" s="57"/>
      <c r="GF26" s="57"/>
      <c r="GG26" s="57"/>
      <c r="GH26" s="59"/>
      <c r="GI26" s="57"/>
      <c r="GJ26" s="57"/>
      <c r="GK26" s="57"/>
      <c r="GL26" s="57"/>
      <c r="GM26" s="59"/>
      <c r="GN26" s="57"/>
      <c r="GO26" s="57"/>
      <c r="GP26" s="57"/>
      <c r="GQ26" s="57"/>
      <c r="GR26" s="59"/>
      <c r="GS26" s="57"/>
      <c r="GT26" s="57"/>
      <c r="GU26" s="57"/>
      <c r="GV26" s="57"/>
      <c r="GW26" s="59"/>
      <c r="GX26" s="57"/>
      <c r="GY26" s="57"/>
      <c r="GZ26" s="57"/>
      <c r="HA26" s="57"/>
      <c r="HB26" s="59"/>
      <c r="HC26" s="57"/>
      <c r="HD26" s="57"/>
      <c r="HE26" s="57"/>
      <c r="HF26" s="57"/>
      <c r="HG26" s="59"/>
      <c r="HH26" s="57"/>
      <c r="HI26" s="57"/>
      <c r="HJ26" s="57"/>
      <c r="HK26" s="57"/>
      <c r="HL26" s="59"/>
      <c r="HM26" s="57"/>
      <c r="HN26" s="57"/>
      <c r="HO26" s="57"/>
      <c r="HP26" s="57"/>
      <c r="HQ26" s="59"/>
      <c r="HR26" s="57"/>
      <c r="HS26" s="57"/>
      <c r="HT26" s="57"/>
      <c r="HU26" s="57"/>
      <c r="HV26" s="59"/>
      <c r="HW26" s="57"/>
      <c r="HX26" s="57"/>
      <c r="HY26" s="57"/>
      <c r="HZ26" s="57"/>
      <c r="IA26" s="59"/>
      <c r="IB26" s="57"/>
      <c r="IC26" s="57"/>
      <c r="ID26" s="57"/>
      <c r="IE26" s="57"/>
      <c r="IF26" s="59"/>
      <c r="IG26" s="57"/>
      <c r="IH26" s="57"/>
      <c r="II26" s="57"/>
      <c r="IJ26" s="57"/>
      <c r="IK26" s="59"/>
      <c r="IL26" s="57"/>
      <c r="IM26" s="57"/>
      <c r="IN26" s="57"/>
      <c r="IO26" s="57"/>
      <c r="IP26" s="59"/>
      <c r="IQ26" s="57"/>
      <c r="IR26" s="57"/>
      <c r="IS26" s="57"/>
      <c r="IT26" s="57"/>
      <c r="IU26" s="59"/>
    </row>
    <row r="27" spans="2:255" ht="18" customHeight="1" x14ac:dyDescent="0.25">
      <c r="B27" s="111" t="s">
        <v>94</v>
      </c>
      <c r="C27" s="117">
        <f>C26*0.1</f>
        <v>1.1803050239041191</v>
      </c>
      <c r="D27" s="804" t="s">
        <v>95</v>
      </c>
      <c r="E27" s="805"/>
      <c r="F27" s="805"/>
      <c r="G27" s="118">
        <f>(C6^0.425*C5^0.725*71.84)/10000</f>
        <v>1.6949468066347395</v>
      </c>
      <c r="H27" s="110"/>
      <c r="N27" s="59" t="s">
        <v>163</v>
      </c>
      <c r="O27" s="63">
        <f>'Calculator (for experts)'!E17</f>
        <v>2.9</v>
      </c>
      <c r="P27" s="119"/>
      <c r="Q27" s="119"/>
      <c r="R27" s="120"/>
    </row>
    <row r="28" spans="2:255" ht="18" customHeight="1" x14ac:dyDescent="0.25">
      <c r="B28" s="111" t="s">
        <v>97</v>
      </c>
      <c r="C28" s="117">
        <f>100/C27</f>
        <v>84.723862031212875</v>
      </c>
      <c r="D28" s="804" t="s">
        <v>98</v>
      </c>
      <c r="E28" s="805"/>
      <c r="F28" s="805" t="s">
        <v>99</v>
      </c>
      <c r="G28" s="118">
        <v>-2.5662845795711448E-2</v>
      </c>
      <c r="H28" s="110"/>
      <c r="I28" s="121" t="s">
        <v>100</v>
      </c>
      <c r="J28" s="121"/>
      <c r="L28" s="122"/>
      <c r="N28" s="59" t="s">
        <v>445</v>
      </c>
      <c r="O28" s="63">
        <f>O27*0.65</f>
        <v>1.885</v>
      </c>
      <c r="R28" s="4"/>
    </row>
    <row r="29" spans="2:255" s="123" customFormat="1" ht="18" customHeight="1" x14ac:dyDescent="0.25">
      <c r="B29" s="111" t="s">
        <v>101</v>
      </c>
      <c r="C29" s="111">
        <v>105</v>
      </c>
      <c r="D29" s="804" t="s">
        <v>102</v>
      </c>
      <c r="E29" s="805"/>
      <c r="F29" s="805"/>
      <c r="G29" s="118">
        <v>49</v>
      </c>
      <c r="I29" s="121" t="s">
        <v>103</v>
      </c>
      <c r="J29" s="121">
        <v>16</v>
      </c>
      <c r="M29" s="1"/>
      <c r="N29" s="59" t="s">
        <v>447</v>
      </c>
      <c r="O29" s="63">
        <f>O28*0.22</f>
        <v>0.41470000000000001</v>
      </c>
      <c r="P29" s="124"/>
      <c r="Q29" s="125"/>
      <c r="R29" s="124"/>
    </row>
    <row r="30" spans="2:255" s="123" customFormat="1" ht="18" customHeight="1" x14ac:dyDescent="0.25">
      <c r="B30" s="111" t="s">
        <v>105</v>
      </c>
      <c r="C30" s="126">
        <f>100/C29</f>
        <v>0.95238095238095233</v>
      </c>
      <c r="D30" s="804" t="s">
        <v>106</v>
      </c>
      <c r="E30" s="805"/>
      <c r="F30" s="805"/>
      <c r="G30" s="118">
        <v>3.7069289683648421</v>
      </c>
      <c r="I30" s="121" t="s">
        <v>107</v>
      </c>
      <c r="J30" s="121">
        <v>50</v>
      </c>
      <c r="K30" s="111"/>
      <c r="L30" s="111"/>
      <c r="M30" s="1"/>
      <c r="N30" s="59" t="s">
        <v>448</v>
      </c>
      <c r="O30" s="563">
        <f>O26-(O26*O29)</f>
        <v>22.224627300271028</v>
      </c>
      <c r="P30" s="124"/>
      <c r="Q30" s="124"/>
      <c r="R30" s="124"/>
    </row>
    <row r="31" spans="2:255" s="123" customFormat="1" ht="18" customHeight="1" x14ac:dyDescent="0.25">
      <c r="B31" s="111" t="s">
        <v>108</v>
      </c>
      <c r="C31" s="126">
        <f>C27-C30</f>
        <v>0.22792407152316674</v>
      </c>
      <c r="D31" s="804" t="s">
        <v>109</v>
      </c>
      <c r="E31" s="805"/>
      <c r="F31" s="805"/>
      <c r="G31" s="118">
        <f>(C20*B40-B41)/5</f>
        <v>-0.1377040000000001</v>
      </c>
      <c r="I31" s="121" t="s">
        <v>110</v>
      </c>
      <c r="J31" s="121">
        <v>105</v>
      </c>
      <c r="K31" s="111"/>
      <c r="L31" s="111"/>
      <c r="M31" s="1"/>
      <c r="N31" s="59" t="s">
        <v>449</v>
      </c>
      <c r="O31" s="63">
        <f>100/(O26-O30)</f>
        <v>6.3505304393083684</v>
      </c>
      <c r="P31" s="124"/>
      <c r="Q31" s="124"/>
      <c r="R31" s="124"/>
    </row>
    <row r="32" spans="2:255" s="123" customFormat="1" ht="18" customHeight="1" x14ac:dyDescent="0.25">
      <c r="B32" s="111" t="s">
        <v>111</v>
      </c>
      <c r="C32" s="127">
        <f>100/C31</f>
        <v>438.74260112905961</v>
      </c>
      <c r="D32" s="804" t="s">
        <v>112</v>
      </c>
      <c r="E32" s="805"/>
      <c r="F32" s="805"/>
      <c r="G32" s="494">
        <f>((140-C4)*C6*L25)/C19</f>
        <v>53.136000000000003</v>
      </c>
      <c r="I32" s="121" t="s">
        <v>113</v>
      </c>
      <c r="J32" s="121">
        <v>130</v>
      </c>
      <c r="K32" s="111"/>
      <c r="L32" s="111"/>
      <c r="M32" s="1"/>
      <c r="N32" s="59" t="s">
        <v>450</v>
      </c>
      <c r="O32" s="63">
        <f>O27-O28</f>
        <v>1.0149999999999999</v>
      </c>
      <c r="P32" s="124"/>
      <c r="Q32" s="124"/>
      <c r="R32" s="124"/>
    </row>
    <row r="33" spans="2:18" s="123" customFormat="1" ht="18" customHeight="1" x14ac:dyDescent="0.25">
      <c r="B33" s="1"/>
      <c r="C33" s="1"/>
      <c r="D33" s="804" t="s">
        <v>114</v>
      </c>
      <c r="E33" s="805"/>
      <c r="F33" s="805"/>
      <c r="G33" s="128">
        <f>IF(C3="M",((((C6^0.425*C5^0.725*71.84)/10000)*136.141)+6.77)-((((C6^0.425*C5^0.725*71.84)/10000)*0.916)*C4),((((C6^0.425*C5^0.725*71.84)/10000)*86.641)+3.933)-((((C6^0.425*C5^0.725*71.84)/10000)*0.346)*C4))</f>
        <v>131.94690651039542</v>
      </c>
      <c r="I33" s="121" t="s">
        <v>115</v>
      </c>
      <c r="J33" s="121">
        <f>(J29/J30)/(J31/J32)</f>
        <v>0.3961904761904762</v>
      </c>
      <c r="K33" s="111"/>
      <c r="L33" s="111"/>
      <c r="N33" s="59" t="s">
        <v>451</v>
      </c>
      <c r="O33" s="564">
        <f>O26-(O26*0.24)</f>
        <v>28.85822099471379</v>
      </c>
      <c r="P33" s="124"/>
      <c r="Q33" s="124"/>
      <c r="R33" s="124"/>
    </row>
    <row r="34" spans="2:18" s="123" customFormat="1" ht="18" customHeight="1" x14ac:dyDescent="0.25">
      <c r="B34" s="1"/>
      <c r="C34" s="1"/>
      <c r="D34" s="804" t="s">
        <v>116</v>
      </c>
      <c r="E34" s="805"/>
      <c r="F34" s="805"/>
      <c r="G34" s="128">
        <f>IF(C3="M",ROUND((((((C6^0.425*C5^0.725*71.84)/10000)*136.141)+6.77)-C7)/((((C6^0.425*C5^0.725*71.84)/10000)*0.916)),0),ROUND((((((C6^0.425*C5^0.725*71.84)/10000)*86.641)+3.933)-C7)/((((C6^0.425*C5^0.725*71.84)/10000)*0.346)),0))</f>
        <v>73</v>
      </c>
      <c r="I34" s="121" t="s">
        <v>117</v>
      </c>
      <c r="J34" s="121" t="s">
        <v>118</v>
      </c>
      <c r="K34" s="111"/>
      <c r="L34" s="111"/>
      <c r="N34" s="59" t="s">
        <v>452</v>
      </c>
      <c r="O34" s="565">
        <f>O30-(O30*0.24)</f>
        <v>16.890716748205982</v>
      </c>
      <c r="P34" s="124"/>
      <c r="Q34" s="124"/>
      <c r="R34" s="124"/>
    </row>
    <row r="35" spans="2:18" s="123" customFormat="1" ht="18" customHeight="1" x14ac:dyDescent="0.25">
      <c r="B35" s="111" t="s">
        <v>119</v>
      </c>
      <c r="C35" s="1"/>
      <c r="D35" s="606"/>
      <c r="E35" s="607"/>
      <c r="F35" s="607" t="s">
        <v>120</v>
      </c>
      <c r="G35" s="128">
        <f>G34-C4</f>
        <v>5</v>
      </c>
      <c r="I35" s="121" t="s">
        <v>121</v>
      </c>
      <c r="J35" s="121" t="s">
        <v>122</v>
      </c>
      <c r="K35" s="111"/>
      <c r="L35" s="111"/>
      <c r="O35" s="124"/>
      <c r="P35" s="124"/>
      <c r="Q35" s="124"/>
      <c r="R35" s="124"/>
    </row>
    <row r="36" spans="2:18" s="123" customFormat="1" ht="18.75" thickBot="1" x14ac:dyDescent="0.25">
      <c r="B36" s="131" t="s">
        <v>123</v>
      </c>
      <c r="C36" s="1"/>
      <c r="D36" s="817" t="s">
        <v>124</v>
      </c>
      <c r="E36" s="818"/>
      <c r="F36" s="818"/>
      <c r="G36" s="132" t="str">
        <f>IFERROR(100*IF(F6="M",(1-POWER(0.88936,EXP((3.06117*LN(D43)+1.1237*LN(D46*38.66)-0.93263*LN(D47*38.66)+(IF(D45="N",1.93303*LN(D44),1.99881*LN(F7)))+(IF(F11="N",0,0.65451))+(IF(D45="N",0,0.57367)))-23.9802))),(1-POWER(0.95012,EXP((2.32888*LN(G22)+1.20904*LN(F14*38.66)-0.70833*LN(F13*38.66)+(IF(F8="N",2.76157*LN(F7),2.82263*LN(F7)))+(IF(F11="N",0,0.52873))+(IF(F10="N",0,0.69154)))-26.1931)))),"")</f>
        <v/>
      </c>
      <c r="I36" s="121" t="s">
        <v>125</v>
      </c>
      <c r="J36" s="121" t="s">
        <v>126</v>
      </c>
      <c r="K36" s="111"/>
      <c r="L36" s="111"/>
      <c r="O36" s="124"/>
      <c r="P36" s="124"/>
      <c r="Q36" s="124"/>
      <c r="R36" s="124"/>
    </row>
    <row r="37" spans="2:18" s="123" customFormat="1" ht="13.5" thickBot="1" x14ac:dyDescent="0.3">
      <c r="D37" s="110"/>
      <c r="E37" s="110"/>
      <c r="F37" s="133"/>
      <c r="G37" s="110"/>
      <c r="I37" s="1" t="s">
        <v>127</v>
      </c>
      <c r="K37" s="1" t="s">
        <v>128</v>
      </c>
      <c r="L37" s="111"/>
      <c r="O37" s="124"/>
      <c r="P37" s="124"/>
      <c r="Q37" s="124"/>
      <c r="R37" s="124"/>
    </row>
    <row r="38" spans="2:18" s="123" customFormat="1" ht="87" customHeight="1" thickBot="1" x14ac:dyDescent="0.3">
      <c r="D38" s="110"/>
      <c r="E38" s="814" t="s">
        <v>347</v>
      </c>
      <c r="F38" s="815"/>
      <c r="G38" s="815"/>
      <c r="H38" s="816"/>
      <c r="K38" s="111"/>
      <c r="L38" s="111"/>
      <c r="O38" s="124"/>
      <c r="P38" s="124"/>
      <c r="Q38" s="124"/>
      <c r="R38" s="124"/>
    </row>
    <row r="39" spans="2:18" s="123" customFormat="1" x14ac:dyDescent="0.25">
      <c r="G39" s="134"/>
      <c r="K39" s="111"/>
      <c r="L39" s="111"/>
      <c r="O39" s="124"/>
      <c r="P39" s="124"/>
      <c r="Q39" s="124"/>
      <c r="R39" s="124"/>
    </row>
    <row r="40" spans="2:18" s="123" customFormat="1" x14ac:dyDescent="0.25">
      <c r="B40" s="135">
        <v>5.8803999999999998</v>
      </c>
      <c r="C40" s="135"/>
      <c r="G40" s="134"/>
      <c r="I40" s="111"/>
      <c r="J40" s="111"/>
      <c r="K40" s="111"/>
      <c r="L40" s="111"/>
      <c r="O40" s="124"/>
      <c r="P40" s="124"/>
      <c r="Q40" s="124"/>
      <c r="R40" s="124"/>
    </row>
    <row r="41" spans="2:18" s="123" customFormat="1" x14ac:dyDescent="0.25">
      <c r="B41" s="135">
        <v>22.446000000000002</v>
      </c>
      <c r="C41" s="135"/>
      <c r="D41" s="134"/>
      <c r="E41" s="134"/>
      <c r="F41" s="4" t="s">
        <v>310</v>
      </c>
      <c r="G41" s="134"/>
      <c r="I41" s="111"/>
      <c r="J41" s="111"/>
      <c r="K41" s="111"/>
      <c r="L41" s="111"/>
      <c r="O41" s="124"/>
      <c r="P41" s="124"/>
      <c r="Q41" s="124"/>
      <c r="R41" s="124"/>
    </row>
    <row r="42" spans="2:18" s="123" customFormat="1" x14ac:dyDescent="0.25">
      <c r="B42" s="135"/>
      <c r="C42" s="135"/>
      <c r="D42" s="134"/>
      <c r="E42" s="134"/>
      <c r="F42" s="4"/>
      <c r="G42" s="134"/>
      <c r="I42" s="111"/>
      <c r="J42" s="111"/>
      <c r="K42" s="111"/>
      <c r="L42" s="111"/>
      <c r="O42" s="124"/>
      <c r="P42" s="124"/>
      <c r="Q42" s="124"/>
      <c r="R42" s="124"/>
    </row>
    <row r="43" spans="2:18" s="123" customFormat="1" x14ac:dyDescent="0.25">
      <c r="B43" s="135"/>
      <c r="C43" s="135"/>
      <c r="D43" s="134"/>
      <c r="E43" s="134"/>
      <c r="F43" s="4"/>
      <c r="G43" s="134"/>
      <c r="I43" s="111"/>
      <c r="K43" s="111"/>
      <c r="L43" s="111"/>
      <c r="O43" s="124"/>
      <c r="P43" s="124"/>
      <c r="Q43" s="124"/>
      <c r="R43" s="124"/>
    </row>
    <row r="44" spans="2:18" s="123" customFormat="1" x14ac:dyDescent="0.25">
      <c r="B44" s="135"/>
      <c r="C44" s="136" t="s">
        <v>129</v>
      </c>
      <c r="D44" s="134"/>
      <c r="E44" s="134"/>
      <c r="F44" s="4"/>
      <c r="G44" s="134"/>
      <c r="I44" s="111"/>
      <c r="J44" s="111"/>
      <c r="K44" s="111"/>
      <c r="L44" s="111"/>
      <c r="O44" s="124"/>
      <c r="P44" s="124"/>
      <c r="Q44" s="124"/>
      <c r="R44" s="124"/>
    </row>
    <row r="45" spans="2:18" s="123" customFormat="1" x14ac:dyDescent="0.25">
      <c r="B45" s="136" t="s">
        <v>130</v>
      </c>
      <c r="C45" s="137" t="s">
        <v>131</v>
      </c>
      <c r="D45" s="135"/>
      <c r="E45" s="134"/>
      <c r="F45" s="4"/>
      <c r="G45" s="134"/>
      <c r="I45" s="110"/>
      <c r="O45" s="124"/>
      <c r="P45" s="124"/>
      <c r="Q45" s="124"/>
      <c r="R45" s="124"/>
    </row>
    <row r="46" spans="2:18" x14ac:dyDescent="0.25">
      <c r="B46" s="136">
        <v>3.7</v>
      </c>
      <c r="C46" s="137">
        <v>0</v>
      </c>
      <c r="D46" s="135"/>
      <c r="E46" s="134"/>
      <c r="F46" s="4"/>
      <c r="G46" s="134"/>
      <c r="I46" s="134"/>
      <c r="O46" s="79"/>
      <c r="P46" s="79"/>
      <c r="Q46" s="79"/>
      <c r="R46" s="79"/>
    </row>
    <row r="47" spans="2:18" x14ac:dyDescent="0.25">
      <c r="B47" s="136">
        <v>4.5</v>
      </c>
      <c r="C47" s="137">
        <v>4</v>
      </c>
      <c r="D47" s="135"/>
      <c r="E47" s="134"/>
      <c r="F47" s="4"/>
      <c r="G47" s="134"/>
      <c r="I47" s="134"/>
      <c r="O47" s="79"/>
      <c r="P47" s="79"/>
      <c r="Q47" s="79"/>
      <c r="R47" s="79"/>
    </row>
    <row r="48" spans="2:18" x14ac:dyDescent="0.25">
      <c r="B48" s="136">
        <v>5.5</v>
      </c>
      <c r="C48" s="137">
        <v>8</v>
      </c>
      <c r="D48" s="135"/>
      <c r="E48" s="134"/>
      <c r="F48" s="4"/>
      <c r="G48" s="134"/>
      <c r="I48" s="134"/>
      <c r="O48" s="79"/>
      <c r="P48" s="79"/>
      <c r="Q48" s="79"/>
      <c r="R48" s="79"/>
    </row>
    <row r="49" spans="2:18" x14ac:dyDescent="0.25">
      <c r="B49" s="136">
        <v>6.5</v>
      </c>
      <c r="C49" s="137">
        <v>17</v>
      </c>
      <c r="D49" s="135"/>
      <c r="E49" s="134"/>
      <c r="F49" s="4"/>
      <c r="G49" s="134"/>
      <c r="N49" s="1" t="s">
        <v>67</v>
      </c>
      <c r="O49" s="63">
        <f>O19</f>
        <v>6.326434928126079</v>
      </c>
      <c r="P49" s="63">
        <f>P19</f>
        <v>0</v>
      </c>
      <c r="Q49" s="63">
        <f>Q19</f>
        <v>8.0378772127870519</v>
      </c>
      <c r="R49" s="64">
        <f>R19</f>
        <v>6.9083253049108091</v>
      </c>
    </row>
    <row r="50" spans="2:18" ht="14.25" x14ac:dyDescent="0.2">
      <c r="B50" s="135"/>
      <c r="C50" s="138"/>
      <c r="D50" s="67"/>
      <c r="E50" s="67"/>
      <c r="F50" s="139"/>
      <c r="G50" s="139"/>
      <c r="H50" s="140"/>
      <c r="I50" s="140"/>
      <c r="J50" s="140"/>
      <c r="K50" s="140"/>
      <c r="L50" s="140"/>
      <c r="N50" s="1" t="s">
        <v>132</v>
      </c>
      <c r="O50" s="79">
        <f>O29*O49</f>
        <v>2.6235725646938852</v>
      </c>
      <c r="P50" s="79">
        <f>P29*P49</f>
        <v>0</v>
      </c>
      <c r="Q50" s="79">
        <f>Q29*Q49</f>
        <v>0</v>
      </c>
      <c r="R50" s="79">
        <f>R29*R49</f>
        <v>0</v>
      </c>
    </row>
    <row r="51" spans="2:18" ht="14.25" x14ac:dyDescent="0.2">
      <c r="B51" s="135"/>
      <c r="C51" s="138"/>
      <c r="D51" s="140"/>
      <c r="E51" s="140"/>
      <c r="F51" s="140"/>
      <c r="G51" s="140"/>
      <c r="H51" s="140" t="s">
        <v>1</v>
      </c>
      <c r="I51" s="140"/>
      <c r="J51" s="140"/>
      <c r="K51" s="140"/>
      <c r="L51" s="140"/>
      <c r="N51" s="1" t="s">
        <v>133</v>
      </c>
      <c r="O51" s="79" t="e">
        <f>#REF!</f>
        <v>#REF!</v>
      </c>
      <c r="P51" s="79" t="e">
        <f>#REF!</f>
        <v>#REF!</v>
      </c>
      <c r="Q51" s="79" t="e">
        <f>#REF!</f>
        <v>#REF!</v>
      </c>
      <c r="R51" s="80" t="e">
        <f>#REF!</f>
        <v>#REF!</v>
      </c>
    </row>
    <row r="52" spans="2:18" ht="14.25" x14ac:dyDescent="0.2">
      <c r="B52" s="135"/>
      <c r="C52" s="138"/>
      <c r="D52" s="140"/>
      <c r="E52" s="141"/>
      <c r="F52" s="140"/>
      <c r="G52" s="140"/>
      <c r="H52" s="140"/>
      <c r="I52" s="140"/>
      <c r="J52" s="140" t="s">
        <v>1</v>
      </c>
      <c r="K52" s="140"/>
      <c r="L52" s="140"/>
      <c r="N52" s="1" t="s">
        <v>134</v>
      </c>
      <c r="O52" s="79" t="e">
        <f>O50-O51</f>
        <v>#REF!</v>
      </c>
      <c r="P52" s="79" t="e">
        <f>P50-P51</f>
        <v>#REF!</v>
      </c>
      <c r="Q52" s="79" t="e">
        <f>Q50-Q51</f>
        <v>#REF!</v>
      </c>
      <c r="R52" s="79" t="e">
        <f>R50-R51</f>
        <v>#REF!</v>
      </c>
    </row>
    <row r="53" spans="2:18" ht="14.25" x14ac:dyDescent="0.2">
      <c r="B53" s="142"/>
      <c r="C53" s="143"/>
      <c r="D53" s="67"/>
      <c r="E53" s="144"/>
      <c r="F53" s="67"/>
      <c r="G53" s="67"/>
      <c r="H53" s="140"/>
      <c r="I53" s="140"/>
      <c r="J53" s="140"/>
      <c r="K53" s="140"/>
      <c r="L53" s="140" t="s">
        <v>1</v>
      </c>
      <c r="N53" s="1" t="s">
        <v>135</v>
      </c>
      <c r="O53" s="145" t="e">
        <f>O50/O51</f>
        <v>#REF!</v>
      </c>
      <c r="P53" s="145" t="e">
        <f>P50/P51</f>
        <v>#REF!</v>
      </c>
      <c r="Q53" s="145" t="e">
        <f>Q50/Q51</f>
        <v>#REF!</v>
      </c>
      <c r="R53" s="145" t="e">
        <f>R50/R51</f>
        <v>#REF!</v>
      </c>
    </row>
    <row r="54" spans="2:18" ht="14.25" x14ac:dyDescent="0.25">
      <c r="B54" s="142"/>
      <c r="C54" s="146"/>
      <c r="D54" s="147"/>
      <c r="E54" s="148"/>
      <c r="F54" s="147"/>
      <c r="G54" s="67"/>
      <c r="H54" s="140"/>
      <c r="I54" s="140"/>
      <c r="J54" s="140"/>
      <c r="K54" s="140"/>
      <c r="L54" s="140"/>
      <c r="N54" s="1" t="s">
        <v>136</v>
      </c>
      <c r="O54" s="145" t="e">
        <f>O50/Q50</f>
        <v>#DIV/0!</v>
      </c>
      <c r="P54" s="145" t="e">
        <f>P50/Q50</f>
        <v>#DIV/0!</v>
      </c>
      <c r="Q54" s="145" t="e">
        <f>Q50/Q50</f>
        <v>#DIV/0!</v>
      </c>
      <c r="R54" s="149" t="e">
        <f>R50/Q50</f>
        <v>#DIV/0!</v>
      </c>
    </row>
    <row r="55" spans="2:18" ht="14.25" x14ac:dyDescent="0.25">
      <c r="B55" s="142"/>
      <c r="C55" s="146">
        <v>1</v>
      </c>
      <c r="D55" s="147"/>
      <c r="E55" s="148"/>
      <c r="F55" s="147"/>
      <c r="G55" s="67"/>
      <c r="H55" s="140"/>
      <c r="I55" s="140"/>
      <c r="J55" s="140"/>
      <c r="K55" s="140"/>
      <c r="L55" s="140"/>
      <c r="O55" s="145"/>
      <c r="P55" s="145"/>
      <c r="Q55" s="145"/>
      <c r="R55" s="149"/>
    </row>
    <row r="56" spans="2:18" ht="14.25" x14ac:dyDescent="0.25">
      <c r="B56" s="142"/>
      <c r="C56" s="146" t="str">
        <f>IF(C8&gt;160," high blood pressure","")</f>
        <v/>
      </c>
      <c r="D56" s="462" t="str">
        <f>IF(B57="",IF(C56="","",IF(C58="",""," und")),"")</f>
        <v/>
      </c>
      <c r="E56" s="148"/>
      <c r="F56" s="147"/>
      <c r="G56" s="67"/>
      <c r="H56" s="140"/>
      <c r="I56" s="140"/>
      <c r="J56" s="140"/>
      <c r="K56" s="140"/>
      <c r="L56" s="140"/>
      <c r="O56" s="145"/>
      <c r="P56" s="145"/>
      <c r="Q56" s="145"/>
      <c r="R56" s="149"/>
    </row>
    <row r="57" spans="2:18" ht="14.25" x14ac:dyDescent="0.25">
      <c r="B57" s="142" t="str">
        <f>IF(C56="","",IF(AND(C57="",C58=""),"",IF(C58=""," and ",IF(C57="","",IF(C56="","",", ")))))</f>
        <v/>
      </c>
      <c r="C57" s="146" t="str">
        <f>IF(C18&gt;4.9,"high LDL","")</f>
        <v/>
      </c>
      <c r="D57" s="462"/>
      <c r="E57" s="148"/>
      <c r="F57" s="147"/>
      <c r="G57" s="67"/>
      <c r="H57" s="140"/>
      <c r="I57" s="140"/>
      <c r="J57" s="140"/>
      <c r="K57" s="140"/>
      <c r="L57" s="140"/>
      <c r="O57" s="145"/>
      <c r="P57" s="145"/>
      <c r="Q57" s="145"/>
      <c r="R57" s="149"/>
    </row>
    <row r="58" spans="2:18" ht="27.75" x14ac:dyDescent="0.25">
      <c r="B58" s="142" t="s">
        <v>348</v>
      </c>
      <c r="C58" s="146" t="str">
        <f>IF(K18&lt;60," poor renal function","")</f>
        <v xml:space="preserve"> poor renal function</v>
      </c>
      <c r="D58" s="462"/>
      <c r="E58" s="148"/>
      <c r="F58" s="147"/>
      <c r="G58" s="67"/>
      <c r="H58" s="140"/>
      <c r="I58" s="140"/>
      <c r="J58" s="140"/>
      <c r="K58" s="140"/>
      <c r="L58" s="140"/>
      <c r="N58" s="150" t="s">
        <v>137</v>
      </c>
      <c r="R58" s="149"/>
    </row>
    <row r="59" spans="2:18" ht="27.75" x14ac:dyDescent="0.25">
      <c r="B59" s="142"/>
      <c r="C59" s="461" t="str">
        <f>IF(C55=1,IF(AND(C56="",C57="",C58=""),"","This patient is already at high risk by definition irrespective from numeric results due to either: "&amp;C56&amp;B57&amp;C57&amp;D56&amp;B58&amp;C58),"")</f>
        <v>This patient is already at high risk by definition irrespective from numeric results due to either:  or poor renal function</v>
      </c>
      <c r="D59" s="147"/>
      <c r="E59" s="148"/>
      <c r="F59" s="147"/>
      <c r="G59" s="67"/>
      <c r="H59" s="140"/>
      <c r="I59" s="140"/>
      <c r="J59" s="140"/>
      <c r="K59" s="140"/>
      <c r="L59" s="140"/>
      <c r="N59" s="7" t="s">
        <v>4</v>
      </c>
      <c r="R59" s="149"/>
    </row>
    <row r="60" spans="2:18" ht="45" x14ac:dyDescent="0.25">
      <c r="B60" s="142"/>
      <c r="C60" s="146"/>
      <c r="D60" s="147"/>
      <c r="E60" s="148"/>
      <c r="F60" s="147"/>
      <c r="G60" s="67"/>
      <c r="N60" s="18" t="s">
        <v>138</v>
      </c>
      <c r="R60" s="149"/>
    </row>
    <row r="61" spans="2:18" ht="15" x14ac:dyDescent="0.25">
      <c r="B61" s="142"/>
      <c r="C61" s="146"/>
      <c r="D61" s="147"/>
      <c r="E61" s="151"/>
      <c r="F61" s="152"/>
      <c r="G61" s="153"/>
      <c r="N61" s="18"/>
      <c r="R61" s="149"/>
    </row>
    <row r="62" spans="2:18" ht="15" x14ac:dyDescent="0.25">
      <c r="B62" s="142"/>
      <c r="C62" s="146"/>
      <c r="D62" s="147"/>
      <c r="E62" s="151"/>
      <c r="F62" s="152"/>
      <c r="G62" s="153"/>
      <c r="N62" s="1" t="s">
        <v>9</v>
      </c>
      <c r="O62" s="27">
        <f>K20*100</f>
        <v>37.971343414097092</v>
      </c>
      <c r="P62" s="27" t="s">
        <v>10</v>
      </c>
      <c r="R62" s="149"/>
    </row>
    <row r="63" spans="2:18" ht="15" x14ac:dyDescent="0.25">
      <c r="B63" s="142"/>
      <c r="C63" s="146"/>
      <c r="D63" s="147"/>
      <c r="E63" s="151"/>
      <c r="F63" s="152"/>
      <c r="G63" s="153"/>
      <c r="N63" s="1" t="s">
        <v>139</v>
      </c>
      <c r="O63" s="36">
        <f>0.46*K19*21</f>
        <v>17.388000000000002</v>
      </c>
      <c r="P63" s="27">
        <f>O62*0.6</f>
        <v>22.782806048458255</v>
      </c>
      <c r="R63" s="4"/>
    </row>
    <row r="64" spans="2:18" ht="15" x14ac:dyDescent="0.25">
      <c r="B64" s="142"/>
      <c r="C64" s="146"/>
      <c r="D64" s="147"/>
      <c r="E64" s="148"/>
      <c r="F64" s="147"/>
      <c r="G64" s="153"/>
      <c r="N64" s="1" t="s">
        <v>18</v>
      </c>
      <c r="O64" s="27">
        <f>0.6*K19*21</f>
        <v>22.68</v>
      </c>
      <c r="R64" s="4"/>
    </row>
    <row r="65" spans="2:18" ht="15" x14ac:dyDescent="0.25">
      <c r="B65" s="142"/>
      <c r="C65" s="146"/>
      <c r="D65" s="147"/>
      <c r="E65" s="148"/>
      <c r="F65" s="147"/>
      <c r="G65" s="153"/>
      <c r="N65" s="1" t="s">
        <v>22</v>
      </c>
      <c r="O65" s="27">
        <v>80</v>
      </c>
      <c r="R65" s="4"/>
    </row>
    <row r="66" spans="2:18" ht="15" x14ac:dyDescent="0.25">
      <c r="B66" s="142"/>
      <c r="C66" s="146"/>
      <c r="D66" s="147"/>
      <c r="E66" s="148"/>
      <c r="F66" s="147"/>
      <c r="G66" s="153"/>
      <c r="N66" s="1" t="s">
        <v>25</v>
      </c>
      <c r="O66" s="36">
        <f>0.2*K19*21</f>
        <v>7.5600000000000005</v>
      </c>
    </row>
    <row r="67" spans="2:18" ht="15" x14ac:dyDescent="0.25">
      <c r="B67" s="153"/>
      <c r="C67" s="148"/>
      <c r="D67" s="147"/>
      <c r="E67" s="148"/>
      <c r="F67" s="147"/>
      <c r="G67" s="153"/>
      <c r="N67" s="1" t="s">
        <v>28</v>
      </c>
      <c r="O67" s="36">
        <v>0.37</v>
      </c>
      <c r="Q67" s="53"/>
    </row>
    <row r="68" spans="2:18" ht="15" x14ac:dyDescent="0.25">
      <c r="B68" s="153"/>
      <c r="C68" s="148"/>
      <c r="D68" s="147"/>
      <c r="E68" s="148"/>
      <c r="F68" s="147"/>
      <c r="G68" s="153"/>
      <c r="N68" s="1" t="s">
        <v>32</v>
      </c>
      <c r="O68" s="55">
        <v>2.2999999999999998</v>
      </c>
    </row>
    <row r="69" spans="2:18" ht="15" x14ac:dyDescent="0.25">
      <c r="B69" s="153"/>
      <c r="C69" s="148"/>
      <c r="D69" s="147"/>
      <c r="E69" s="148"/>
      <c r="F69" s="147"/>
      <c r="G69" s="153"/>
      <c r="N69" s="1" t="s">
        <v>35</v>
      </c>
      <c r="O69" s="55">
        <v>19.91</v>
      </c>
    </row>
    <row r="70" spans="2:18" ht="15" x14ac:dyDescent="0.25">
      <c r="B70" s="153"/>
      <c r="C70" s="148"/>
      <c r="D70" s="147"/>
      <c r="E70" s="148"/>
      <c r="F70" s="147"/>
      <c r="G70" s="153"/>
      <c r="N70" s="1" t="s">
        <v>38</v>
      </c>
      <c r="O70" s="57">
        <v>191494</v>
      </c>
    </row>
    <row r="71" spans="2:18" ht="15" x14ac:dyDescent="0.25">
      <c r="B71" s="153"/>
      <c r="C71" s="148"/>
      <c r="D71" s="147"/>
      <c r="E71" s="148"/>
      <c r="F71" s="147"/>
      <c r="G71" s="153"/>
      <c r="N71" s="59" t="s">
        <v>4</v>
      </c>
      <c r="O71" s="60" t="s">
        <v>43</v>
      </c>
      <c r="P71" s="60" t="s">
        <v>44</v>
      </c>
      <c r="Q71" s="60" t="s">
        <v>45</v>
      </c>
      <c r="R71" s="61" t="s">
        <v>46</v>
      </c>
    </row>
    <row r="72" spans="2:18" x14ac:dyDescent="0.2">
      <c r="B72" s="153"/>
      <c r="C72" s="155"/>
      <c r="D72" s="153"/>
      <c r="E72" s="153"/>
      <c r="F72" s="151"/>
      <c r="G72" s="153"/>
      <c r="O72" s="63"/>
      <c r="P72" s="63"/>
      <c r="Q72" s="63"/>
      <c r="R72" s="64"/>
    </row>
    <row r="73" spans="2:18" x14ac:dyDescent="0.2">
      <c r="N73" s="1" t="s">
        <v>52</v>
      </c>
      <c r="O73" s="63">
        <f>$O$62</f>
        <v>37.971343414097092</v>
      </c>
      <c r="P73" s="63">
        <f>$O$62</f>
        <v>37.971343414097092</v>
      </c>
      <c r="Q73" s="63">
        <f>$O$62</f>
        <v>37.971343414097092</v>
      </c>
      <c r="R73" s="63">
        <f>$O$62</f>
        <v>37.971343414097092</v>
      </c>
    </row>
    <row r="74" spans="2:18" x14ac:dyDescent="0.2">
      <c r="N74" s="1" t="s">
        <v>55</v>
      </c>
      <c r="O74" s="63">
        <f>O73*1.111</f>
        <v>42.186162533061868</v>
      </c>
      <c r="P74" s="63">
        <f>P73*1.111</f>
        <v>42.186162533061868</v>
      </c>
      <c r="Q74" s="63">
        <f>Q73*1.111</f>
        <v>42.186162533061868</v>
      </c>
      <c r="R74" s="64">
        <f>R73*1.111</f>
        <v>42.186162533061868</v>
      </c>
    </row>
    <row r="75" spans="2:18" x14ac:dyDescent="0.2">
      <c r="N75" s="1" t="s">
        <v>59</v>
      </c>
      <c r="O75" s="63">
        <f>O65</f>
        <v>80</v>
      </c>
      <c r="P75" s="63">
        <f>O64</f>
        <v>22.68</v>
      </c>
      <c r="Q75" s="63">
        <f>O63</f>
        <v>17.388000000000002</v>
      </c>
      <c r="R75" s="64">
        <f>O66+O63</f>
        <v>24.948</v>
      </c>
    </row>
    <row r="76" spans="2:18" x14ac:dyDescent="0.2">
      <c r="N76" s="1" t="s">
        <v>64</v>
      </c>
      <c r="O76" s="63">
        <f>O74/100*O75</f>
        <v>33.748930026449493</v>
      </c>
      <c r="P76" s="63">
        <f>P74/100*P75</f>
        <v>9.5678216624984316</v>
      </c>
      <c r="Q76" s="63">
        <f>Q74/100*Q75</f>
        <v>7.3353299412487978</v>
      </c>
      <c r="R76" s="64">
        <f>R74/100*R75</f>
        <v>10.524603828748274</v>
      </c>
    </row>
    <row r="77" spans="2:18" x14ac:dyDescent="0.2">
      <c r="N77" s="1" t="s">
        <v>67</v>
      </c>
      <c r="O77" s="63">
        <f>100/O76</f>
        <v>2.9630569005188803</v>
      </c>
      <c r="P77" s="63">
        <f>100/P76</f>
        <v>10.451699825463422</v>
      </c>
      <c r="Q77" s="63">
        <f>100/Q76</f>
        <v>13.632651946256637</v>
      </c>
      <c r="R77" s="64">
        <f>100/R76</f>
        <v>9.5015452958758377</v>
      </c>
    </row>
    <row r="78" spans="2:18" x14ac:dyDescent="0.2">
      <c r="N78" s="1" t="s">
        <v>70</v>
      </c>
      <c r="O78" s="79">
        <f>O70</f>
        <v>191494</v>
      </c>
      <c r="P78" s="79">
        <f>O70</f>
        <v>191494</v>
      </c>
      <c r="Q78" s="79">
        <f>O70</f>
        <v>191494</v>
      </c>
      <c r="R78" s="80">
        <f>O70</f>
        <v>191494</v>
      </c>
    </row>
    <row r="79" spans="2:18" x14ac:dyDescent="0.2">
      <c r="O79" s="63"/>
      <c r="P79" s="63"/>
      <c r="Q79" s="63"/>
      <c r="R79" s="64"/>
    </row>
    <row r="80" spans="2:18" x14ac:dyDescent="0.2">
      <c r="N80" s="1" t="s">
        <v>75</v>
      </c>
      <c r="O80" s="63">
        <f>O67</f>
        <v>0.37</v>
      </c>
      <c r="P80" s="63">
        <v>0</v>
      </c>
      <c r="Q80" s="63">
        <f>O67</f>
        <v>0.37</v>
      </c>
      <c r="R80" s="64">
        <f>O67</f>
        <v>0.37</v>
      </c>
    </row>
    <row r="81" spans="3:18" x14ac:dyDescent="0.2">
      <c r="N81" s="1" t="s">
        <v>77</v>
      </c>
      <c r="O81" s="63">
        <f>O69</f>
        <v>19.91</v>
      </c>
      <c r="P81" s="63">
        <f>O69</f>
        <v>19.91</v>
      </c>
      <c r="Q81" s="63">
        <v>0</v>
      </c>
      <c r="R81" s="64">
        <f>O68</f>
        <v>2.2999999999999998</v>
      </c>
    </row>
    <row r="82" spans="3:18" x14ac:dyDescent="0.2">
      <c r="N82" s="1" t="s">
        <v>79</v>
      </c>
      <c r="O82" s="63">
        <f>3650*(O80+O81)</f>
        <v>74022</v>
      </c>
      <c r="P82" s="63">
        <f>3650*(P80+P81)</f>
        <v>72671.5</v>
      </c>
      <c r="Q82" s="63">
        <f>3650*(Q80+Q81)</f>
        <v>1350.5</v>
      </c>
      <c r="R82" s="64">
        <f>3650*(R80+R81)</f>
        <v>9745.5</v>
      </c>
    </row>
    <row r="83" spans="3:18" x14ac:dyDescent="0.2">
      <c r="N83" s="1" t="s">
        <v>82</v>
      </c>
      <c r="O83" s="63">
        <v>10000</v>
      </c>
      <c r="P83" s="63">
        <v>10000</v>
      </c>
      <c r="Q83" s="63">
        <v>10000</v>
      </c>
      <c r="R83" s="64">
        <v>10000</v>
      </c>
    </row>
    <row r="84" spans="3:18" ht="15" x14ac:dyDescent="0.25">
      <c r="C84" s="156"/>
      <c r="D84" s="157"/>
      <c r="E84" s="157"/>
      <c r="F84" s="158"/>
      <c r="O84" s="60" t="s">
        <v>86</v>
      </c>
      <c r="P84" s="60" t="s">
        <v>87</v>
      </c>
      <c r="Q84" s="60" t="s">
        <v>88</v>
      </c>
      <c r="R84" s="61" t="s">
        <v>89</v>
      </c>
    </row>
    <row r="85" spans="3:18" ht="15" x14ac:dyDescent="0.25">
      <c r="C85" s="159" t="s">
        <v>140</v>
      </c>
      <c r="D85" s="134"/>
      <c r="E85" s="4"/>
      <c r="F85" s="154"/>
      <c r="N85" s="59" t="s">
        <v>93</v>
      </c>
      <c r="O85" s="57">
        <f>(O77*(O82+O83))-O78</f>
        <v>57467.966895397345</v>
      </c>
      <c r="P85" s="57">
        <f>(P77*(P82+P83))-P78</f>
        <v>672563.70212079922</v>
      </c>
      <c r="Q85" s="57">
        <f>(Q77*(Q82+Q83))-Q78</f>
        <v>-36756.584084014059</v>
      </c>
      <c r="R85" s="116">
        <f>(R77*(R82+R83))-R78</f>
        <v>-3881.2373602836451</v>
      </c>
    </row>
    <row r="86" spans="3:18" ht="15" x14ac:dyDescent="0.25">
      <c r="C86" s="160" t="s">
        <v>141</v>
      </c>
      <c r="D86" s="134" t="s">
        <v>142</v>
      </c>
      <c r="E86" s="4"/>
      <c r="F86" s="154"/>
      <c r="N86" s="59" t="s">
        <v>96</v>
      </c>
      <c r="O86" s="119">
        <f>O93</f>
        <v>1.3001032246200788</v>
      </c>
      <c r="P86" s="119">
        <f>P93</f>
        <v>4.5121920379792542</v>
      </c>
      <c r="Q86" s="119">
        <f>Q93</f>
        <v>0.80805359915185826</v>
      </c>
      <c r="R86" s="120">
        <f>R93</f>
        <v>0.97973180694808382</v>
      </c>
    </row>
    <row r="87" spans="3:18" x14ac:dyDescent="0.25">
      <c r="C87" s="160">
        <v>84.7</v>
      </c>
      <c r="D87" s="134">
        <v>39.5</v>
      </c>
      <c r="E87" s="4"/>
      <c r="F87" s="154"/>
      <c r="N87" s="1" t="s">
        <v>1</v>
      </c>
      <c r="R87" s="4"/>
    </row>
    <row r="88" spans="3:18" x14ac:dyDescent="0.25">
      <c r="C88" s="160">
        <v>28</v>
      </c>
      <c r="D88" s="134">
        <v>56</v>
      </c>
      <c r="E88" s="4"/>
      <c r="F88" s="154"/>
      <c r="N88" s="1" t="s">
        <v>104</v>
      </c>
      <c r="O88" s="79">
        <f>SUM(O82:O83)</f>
        <v>84022</v>
      </c>
      <c r="P88" s="79">
        <f>SUM(P82:P83)</f>
        <v>82671.5</v>
      </c>
      <c r="Q88" s="79">
        <f>SUM(Q82:Q83)</f>
        <v>11350.5</v>
      </c>
      <c r="R88" s="79">
        <f>SUM(R82:R83)</f>
        <v>19745.5</v>
      </c>
    </row>
    <row r="89" spans="3:18" ht="14.25" x14ac:dyDescent="0.25">
      <c r="C89" s="161">
        <f>C87/C88</f>
        <v>3.0249999999999999</v>
      </c>
      <c r="D89" s="162">
        <f>D87/D88</f>
        <v>0.7053571428571429</v>
      </c>
      <c r="E89" s="4"/>
      <c r="F89" s="154"/>
      <c r="N89" s="1" t="s">
        <v>67</v>
      </c>
      <c r="O89" s="63">
        <f>O77</f>
        <v>2.9630569005188803</v>
      </c>
      <c r="P89" s="63">
        <f>P77</f>
        <v>10.451699825463422</v>
      </c>
      <c r="Q89" s="63">
        <f>Q77</f>
        <v>13.632651946256637</v>
      </c>
      <c r="R89" s="64">
        <f>R77</f>
        <v>9.5015452958758377</v>
      </c>
    </row>
    <row r="90" spans="3:18" x14ac:dyDescent="0.25">
      <c r="C90" s="160"/>
      <c r="D90" s="134"/>
      <c r="E90" s="4"/>
      <c r="F90" s="154"/>
      <c r="N90" s="1" t="s">
        <v>132</v>
      </c>
      <c r="O90" s="79">
        <f>O88*O89</f>
        <v>248961.96689539735</v>
      </c>
      <c r="P90" s="79">
        <f>P88*P89</f>
        <v>864057.70212079922</v>
      </c>
      <c r="Q90" s="79">
        <f>Q88*Q89</f>
        <v>154737.41591598594</v>
      </c>
      <c r="R90" s="79">
        <f>R88*R89</f>
        <v>187612.76263971635</v>
      </c>
    </row>
    <row r="91" spans="3:18" x14ac:dyDescent="0.25">
      <c r="C91" s="160" t="s">
        <v>143</v>
      </c>
      <c r="D91" s="134" t="s">
        <v>144</v>
      </c>
      <c r="E91" s="4"/>
      <c r="F91" s="154"/>
      <c r="N91" s="1" t="s">
        <v>133</v>
      </c>
      <c r="O91" s="79">
        <f>O78</f>
        <v>191494</v>
      </c>
      <c r="P91" s="79">
        <f>P78</f>
        <v>191494</v>
      </c>
      <c r="Q91" s="79">
        <f>Q78</f>
        <v>191494</v>
      </c>
      <c r="R91" s="80">
        <f>R78</f>
        <v>191494</v>
      </c>
    </row>
    <row r="92" spans="3:18" ht="14.25" x14ac:dyDescent="0.25">
      <c r="C92" s="163">
        <v>2.2999999999999998</v>
      </c>
      <c r="D92" s="164">
        <f>C92+D89</f>
        <v>3.0053571428571426</v>
      </c>
      <c r="E92" s="4"/>
      <c r="F92" s="154"/>
      <c r="N92" s="1" t="s">
        <v>134</v>
      </c>
      <c r="O92" s="79">
        <f>O90-O91</f>
        <v>57467.966895397345</v>
      </c>
      <c r="P92" s="79">
        <f>P90-P91</f>
        <v>672563.70212079922</v>
      </c>
      <c r="Q92" s="79">
        <f>Q90-Q91</f>
        <v>-36756.584084014059</v>
      </c>
      <c r="R92" s="79">
        <f>R90-R91</f>
        <v>-3881.2373602836451</v>
      </c>
    </row>
    <row r="93" spans="3:18" x14ac:dyDescent="0.25">
      <c r="C93" s="160"/>
      <c r="D93" s="134"/>
      <c r="E93" s="4"/>
      <c r="F93" s="154"/>
      <c r="N93" s="1" t="s">
        <v>135</v>
      </c>
      <c r="O93" s="145">
        <f>O90/O91</f>
        <v>1.3001032246200788</v>
      </c>
      <c r="P93" s="145">
        <f>P90/P91</f>
        <v>4.5121920379792542</v>
      </c>
      <c r="Q93" s="145">
        <f>Q90/Q91</f>
        <v>0.80805359915185826</v>
      </c>
      <c r="R93" s="145">
        <f>R90/R91</f>
        <v>0.97973180694808382</v>
      </c>
    </row>
    <row r="94" spans="3:18" x14ac:dyDescent="0.25">
      <c r="C94" s="160"/>
      <c r="D94" s="134"/>
      <c r="E94" s="4"/>
      <c r="F94" s="154"/>
      <c r="N94" s="1" t="s">
        <v>136</v>
      </c>
      <c r="O94" s="145">
        <f>O90/Q90</f>
        <v>1.6089319148936172</v>
      </c>
      <c r="P94" s="145">
        <f>P90/Q90</f>
        <v>5.5840256670043908</v>
      </c>
      <c r="Q94" s="145">
        <f>Q90/Q90</f>
        <v>1</v>
      </c>
      <c r="R94" s="149">
        <f>R90/Q90</f>
        <v>1.2124589358631912</v>
      </c>
    </row>
    <row r="95" spans="3:18" x14ac:dyDescent="0.25">
      <c r="C95" s="160" t="s">
        <v>145</v>
      </c>
      <c r="D95" s="134"/>
      <c r="E95" s="4"/>
      <c r="F95" s="154"/>
      <c r="O95" s="145"/>
      <c r="P95" s="145"/>
      <c r="Q95" s="145"/>
      <c r="R95" s="4"/>
    </row>
    <row r="96" spans="3:18" x14ac:dyDescent="0.25">
      <c r="C96" s="160" t="s">
        <v>146</v>
      </c>
      <c r="D96" s="134"/>
      <c r="E96" s="4"/>
      <c r="F96" s="154"/>
      <c r="R96" s="4"/>
    </row>
    <row r="97" spans="3:18" x14ac:dyDescent="0.25">
      <c r="C97" s="165"/>
      <c r="D97" s="166"/>
      <c r="E97" s="166"/>
      <c r="F97" s="167"/>
      <c r="R97" s="4"/>
    </row>
    <row r="98" spans="3:18" x14ac:dyDescent="0.25">
      <c r="C98" s="3"/>
      <c r="D98" s="3"/>
      <c r="E98" s="3"/>
      <c r="F98" s="4"/>
      <c r="R98" s="4"/>
    </row>
    <row r="99" spans="3:18" x14ac:dyDescent="0.25">
      <c r="C99" s="3"/>
      <c r="D99" s="3"/>
      <c r="E99" s="3"/>
      <c r="F99" s="4"/>
      <c r="R99" s="4"/>
    </row>
    <row r="100" spans="3:18" x14ac:dyDescent="0.25">
      <c r="C100" s="156"/>
      <c r="D100" s="157"/>
      <c r="E100" s="157"/>
      <c r="F100" s="158"/>
      <c r="R100" s="4"/>
    </row>
    <row r="101" spans="3:18" x14ac:dyDescent="0.25">
      <c r="C101" s="160" t="s">
        <v>147</v>
      </c>
      <c r="D101" s="4"/>
      <c r="E101" s="4"/>
      <c r="F101" s="154"/>
      <c r="R101" s="4"/>
    </row>
    <row r="102" spans="3:18" x14ac:dyDescent="0.25">
      <c r="C102" s="160" t="s">
        <v>148</v>
      </c>
      <c r="D102" s="4"/>
      <c r="E102" s="4"/>
      <c r="F102" s="154"/>
      <c r="R102" s="4"/>
    </row>
    <row r="103" spans="3:18" x14ac:dyDescent="0.25">
      <c r="C103" s="160" t="s">
        <v>149</v>
      </c>
      <c r="D103" s="4"/>
      <c r="E103" s="4"/>
      <c r="F103" s="154"/>
      <c r="R103" s="4"/>
    </row>
    <row r="104" spans="3:18" x14ac:dyDescent="0.25">
      <c r="C104" s="160" t="s">
        <v>150</v>
      </c>
      <c r="D104" s="4"/>
      <c r="E104" s="4"/>
      <c r="F104" s="154"/>
      <c r="R104" s="4"/>
    </row>
    <row r="105" spans="3:18" x14ac:dyDescent="0.25">
      <c r="C105" s="165"/>
      <c r="D105" s="166"/>
      <c r="E105" s="166"/>
      <c r="F105" s="167"/>
      <c r="R105" s="4"/>
    </row>
    <row r="106" spans="3:18" x14ac:dyDescent="0.2">
      <c r="D106" s="134"/>
      <c r="R106" s="4"/>
    </row>
    <row r="107" spans="3:18" x14ac:dyDescent="0.2">
      <c r="D107" s="134"/>
      <c r="R107" s="4"/>
    </row>
    <row r="108" spans="3:18" x14ac:dyDescent="0.2">
      <c r="D108" s="134"/>
      <c r="R108" s="4"/>
    </row>
    <row r="109" spans="3:18" x14ac:dyDescent="0.2">
      <c r="D109" s="134"/>
      <c r="R109" s="4"/>
    </row>
    <row r="110" spans="3:18" x14ac:dyDescent="0.2">
      <c r="D110" s="134"/>
      <c r="R110" s="4"/>
    </row>
    <row r="111" spans="3:18" x14ac:dyDescent="0.2">
      <c r="D111" s="134"/>
      <c r="R111" s="4"/>
    </row>
    <row r="112" spans="3:18" x14ac:dyDescent="0.2">
      <c r="D112" s="134"/>
      <c r="R112" s="4"/>
    </row>
    <row r="113" spans="4:18" x14ac:dyDescent="0.2">
      <c r="D113" s="134"/>
      <c r="R113" s="4"/>
    </row>
    <row r="114" spans="4:18" x14ac:dyDescent="0.2">
      <c r="D114" s="134"/>
      <c r="R114" s="4"/>
    </row>
    <row r="115" spans="4:18" x14ac:dyDescent="0.2">
      <c r="D115" s="134"/>
      <c r="R115" s="4"/>
    </row>
    <row r="116" spans="4:18" x14ac:dyDescent="0.2">
      <c r="D116" s="134"/>
      <c r="R116" s="4"/>
    </row>
    <row r="117" spans="4:18" x14ac:dyDescent="0.2">
      <c r="D117" s="134"/>
      <c r="R117" s="4"/>
    </row>
    <row r="118" spans="4:18" x14ac:dyDescent="0.2">
      <c r="D118" s="134"/>
      <c r="R118" s="4"/>
    </row>
    <row r="119" spans="4:18" x14ac:dyDescent="0.2">
      <c r="D119" s="134"/>
      <c r="R119" s="4"/>
    </row>
    <row r="120" spans="4:18" x14ac:dyDescent="0.2">
      <c r="D120" s="134"/>
      <c r="R120" s="4"/>
    </row>
    <row r="121" spans="4:18" x14ac:dyDescent="0.2">
      <c r="D121" s="134"/>
      <c r="R121" s="4"/>
    </row>
    <row r="122" spans="4:18" x14ac:dyDescent="0.2">
      <c r="D122" s="134"/>
      <c r="R122" s="4"/>
    </row>
    <row r="123" spans="4:18" x14ac:dyDescent="0.2">
      <c r="D123" s="134"/>
      <c r="R123" s="4"/>
    </row>
    <row r="124" spans="4:18" x14ac:dyDescent="0.2">
      <c r="D124" s="134"/>
      <c r="R124" s="4"/>
    </row>
    <row r="125" spans="4:18" x14ac:dyDescent="0.2">
      <c r="D125" s="134"/>
      <c r="R125" s="4"/>
    </row>
    <row r="126" spans="4:18" x14ac:dyDescent="0.2">
      <c r="D126" s="134"/>
      <c r="R126" s="4"/>
    </row>
    <row r="127" spans="4:18" x14ac:dyDescent="0.2">
      <c r="D127" s="134"/>
      <c r="R127" s="4"/>
    </row>
    <row r="128" spans="4:18" x14ac:dyDescent="0.2">
      <c r="D128" s="134"/>
      <c r="R128" s="4"/>
    </row>
    <row r="129" spans="2:18" x14ac:dyDescent="0.2">
      <c r="B129" s="1" t="s">
        <v>151</v>
      </c>
      <c r="D129" s="134" t="s">
        <v>152</v>
      </c>
      <c r="E129" s="1" t="s">
        <v>153</v>
      </c>
      <c r="R129" s="4"/>
    </row>
    <row r="130" spans="2:18" x14ac:dyDescent="0.2">
      <c r="E130" s="3"/>
      <c r="F130" s="1"/>
      <c r="N130" s="3"/>
      <c r="Q130" s="4"/>
      <c r="R130" s="1"/>
    </row>
    <row r="131" spans="2:18" x14ac:dyDescent="0.2">
      <c r="E131" s="3"/>
      <c r="F131" s="1"/>
      <c r="N131" s="3"/>
      <c r="Q131" s="4"/>
      <c r="R131" s="1"/>
    </row>
    <row r="132" spans="2:18" x14ac:dyDescent="0.2">
      <c r="C132" s="2">
        <v>2</v>
      </c>
      <c r="D132" s="134"/>
      <c r="R132" s="4"/>
    </row>
    <row r="133" spans="2:18" x14ac:dyDescent="0.2">
      <c r="C133" s="2">
        <v>2</v>
      </c>
      <c r="D133" s="134"/>
      <c r="E133" s="1">
        <v>2</v>
      </c>
      <c r="R133" s="4"/>
    </row>
    <row r="134" spans="2:18" x14ac:dyDescent="0.2">
      <c r="C134" s="2">
        <v>2</v>
      </c>
      <c r="D134" s="134"/>
      <c r="R134" s="4"/>
    </row>
    <row r="135" spans="2:18" x14ac:dyDescent="0.2">
      <c r="C135" s="2">
        <f>SUM(C132:C134)</f>
        <v>6</v>
      </c>
      <c r="D135" s="134"/>
      <c r="R135" s="4"/>
    </row>
    <row r="136" spans="2:18" x14ac:dyDescent="0.2">
      <c r="B136" s="1" t="s">
        <v>154</v>
      </c>
      <c r="C136" s="2">
        <v>100</v>
      </c>
      <c r="D136" s="134"/>
      <c r="E136" s="134">
        <f>SUM(E133:E135)</f>
        <v>2</v>
      </c>
      <c r="R136" s="4"/>
    </row>
    <row r="137" spans="2:18" x14ac:dyDescent="0.2">
      <c r="B137" s="1" t="s">
        <v>155</v>
      </c>
      <c r="C137" s="2">
        <f>C136*C135*365</f>
        <v>219000</v>
      </c>
      <c r="D137" s="134"/>
      <c r="E137" s="1">
        <v>10</v>
      </c>
      <c r="R137" s="4"/>
    </row>
    <row r="138" spans="2:18" x14ac:dyDescent="0.2">
      <c r="B138" s="1" t="s">
        <v>156</v>
      </c>
      <c r="C138" s="2">
        <v>1000</v>
      </c>
      <c r="D138" s="134"/>
      <c r="E138" s="2">
        <f>E137*E136*365</f>
        <v>7300</v>
      </c>
      <c r="R138" s="4"/>
    </row>
    <row r="139" spans="2:18" x14ac:dyDescent="0.2">
      <c r="B139" s="1" t="s">
        <v>157</v>
      </c>
      <c r="C139" s="2">
        <v>1200</v>
      </c>
      <c r="D139" s="134"/>
      <c r="E139" s="1">
        <v>1000</v>
      </c>
      <c r="R139" s="4"/>
    </row>
    <row r="140" spans="2:18" x14ac:dyDescent="0.2">
      <c r="B140" s="1" t="s">
        <v>158</v>
      </c>
      <c r="C140" s="2">
        <f>(C139*C138)+C137</f>
        <v>1419000</v>
      </c>
      <c r="D140" s="134"/>
      <c r="E140" s="1">
        <v>1000</v>
      </c>
      <c r="R140" s="4"/>
    </row>
    <row r="141" spans="2:18" x14ac:dyDescent="0.2">
      <c r="B141" s="1" t="s">
        <v>159</v>
      </c>
      <c r="C141" s="2">
        <f>C140/E141</f>
        <v>1.4087163704953838</v>
      </c>
      <c r="D141" s="134"/>
      <c r="E141" s="2">
        <f>(E140*E139)+E138</f>
        <v>1007300</v>
      </c>
      <c r="R141" s="4"/>
    </row>
    <row r="142" spans="2:18" x14ac:dyDescent="0.2">
      <c r="B142" s="1" t="s">
        <v>160</v>
      </c>
      <c r="C142" s="2">
        <f>E141*1.3</f>
        <v>1309490</v>
      </c>
      <c r="D142" s="134"/>
      <c r="R142" s="4"/>
    </row>
    <row r="143" spans="2:18" x14ac:dyDescent="0.2">
      <c r="B143" s="1" t="s">
        <v>161</v>
      </c>
      <c r="C143" s="2">
        <f>C140-C142</f>
        <v>109510</v>
      </c>
      <c r="D143" s="134"/>
      <c r="R143" s="4"/>
    </row>
    <row r="144" spans="2:18" x14ac:dyDescent="0.2">
      <c r="D144" s="134"/>
      <c r="R144" s="4"/>
    </row>
    <row r="145" spans="4:18" x14ac:dyDescent="0.2">
      <c r="D145" s="134"/>
      <c r="R145" s="4"/>
    </row>
    <row r="146" spans="4:18" x14ac:dyDescent="0.2">
      <c r="D146" s="134"/>
      <c r="R146" s="4"/>
    </row>
    <row r="147" spans="4:18" x14ac:dyDescent="0.2">
      <c r="D147" s="134"/>
      <c r="R147" s="4"/>
    </row>
    <row r="148" spans="4:18" x14ac:dyDescent="0.2">
      <c r="D148" s="134"/>
      <c r="R148" s="4"/>
    </row>
    <row r="149" spans="4:18" x14ac:dyDescent="0.2">
      <c r="D149" s="134"/>
      <c r="R149" s="4"/>
    </row>
    <row r="150" spans="4:18" x14ac:dyDescent="0.2">
      <c r="D150" s="134"/>
      <c r="R150" s="4"/>
    </row>
    <row r="151" spans="4:18" x14ac:dyDescent="0.2">
      <c r="D151" s="134"/>
      <c r="R151" s="4"/>
    </row>
    <row r="152" spans="4:18" x14ac:dyDescent="0.2">
      <c r="D152" s="134"/>
      <c r="R152" s="4"/>
    </row>
    <row r="153" spans="4:18" x14ac:dyDescent="0.2">
      <c r="D153" s="134"/>
      <c r="R153" s="4"/>
    </row>
    <row r="154" spans="4:18" x14ac:dyDescent="0.2">
      <c r="D154" s="134"/>
      <c r="R154" s="4"/>
    </row>
    <row r="155" spans="4:18" x14ac:dyDescent="0.2">
      <c r="D155" s="134"/>
      <c r="R155" s="4"/>
    </row>
    <row r="156" spans="4:18" x14ac:dyDescent="0.2">
      <c r="D156" s="134"/>
      <c r="R156" s="4"/>
    </row>
    <row r="157" spans="4:18" x14ac:dyDescent="0.2">
      <c r="D157" s="134"/>
      <c r="R157" s="4"/>
    </row>
    <row r="158" spans="4:18" x14ac:dyDescent="0.2">
      <c r="D158" s="134"/>
      <c r="R158" s="4"/>
    </row>
    <row r="159" spans="4:18" x14ac:dyDescent="0.2">
      <c r="D159" s="134"/>
      <c r="R159" s="4"/>
    </row>
    <row r="160" spans="4:18" x14ac:dyDescent="0.2">
      <c r="D160" s="134"/>
      <c r="R160" s="4"/>
    </row>
    <row r="161" spans="4:18" x14ac:dyDescent="0.2">
      <c r="D161" s="134"/>
      <c r="R161" s="4"/>
    </row>
    <row r="162" spans="4:18" x14ac:dyDescent="0.2">
      <c r="D162" s="134"/>
      <c r="R162" s="4"/>
    </row>
    <row r="163" spans="4:18" x14ac:dyDescent="0.2">
      <c r="D163" s="134"/>
      <c r="R163" s="4"/>
    </row>
    <row r="164" spans="4:18" x14ac:dyDescent="0.2">
      <c r="D164" s="134"/>
      <c r="R164" s="4"/>
    </row>
    <row r="165" spans="4:18" x14ac:dyDescent="0.2">
      <c r="D165" s="134"/>
      <c r="R165" s="4"/>
    </row>
    <row r="166" spans="4:18" x14ac:dyDescent="0.2">
      <c r="D166" s="134"/>
      <c r="R166" s="4"/>
    </row>
    <row r="167" spans="4:18" x14ac:dyDescent="0.2">
      <c r="D167" s="134"/>
      <c r="R167" s="4"/>
    </row>
    <row r="168" spans="4:18" x14ac:dyDescent="0.2">
      <c r="D168" s="134"/>
      <c r="R168" s="4"/>
    </row>
    <row r="169" spans="4:18" x14ac:dyDescent="0.2">
      <c r="D169" s="134"/>
      <c r="R169" s="4"/>
    </row>
    <row r="170" spans="4:18" x14ac:dyDescent="0.2">
      <c r="D170" s="134"/>
      <c r="R170" s="4"/>
    </row>
    <row r="171" spans="4:18" x14ac:dyDescent="0.2">
      <c r="D171" s="134"/>
      <c r="R171" s="4"/>
    </row>
    <row r="172" spans="4:18" x14ac:dyDescent="0.2">
      <c r="D172" s="134"/>
      <c r="R172" s="4"/>
    </row>
    <row r="173" spans="4:18" x14ac:dyDescent="0.2">
      <c r="D173" s="134"/>
      <c r="R173" s="4"/>
    </row>
    <row r="174" spans="4:18" x14ac:dyDescent="0.2">
      <c r="D174" s="134"/>
      <c r="R174" s="4"/>
    </row>
    <row r="175" spans="4:18" x14ac:dyDescent="0.2">
      <c r="D175" s="134"/>
      <c r="R175" s="4"/>
    </row>
    <row r="176" spans="4:18" x14ac:dyDescent="0.2">
      <c r="D176" s="134"/>
      <c r="R176" s="4"/>
    </row>
    <row r="177" spans="4:18" x14ac:dyDescent="0.2">
      <c r="D177" s="134"/>
      <c r="R177" s="4"/>
    </row>
    <row r="178" spans="4:18" x14ac:dyDescent="0.2">
      <c r="D178" s="134"/>
      <c r="R178" s="4"/>
    </row>
    <row r="179" spans="4:18" x14ac:dyDescent="0.2">
      <c r="D179" s="134"/>
      <c r="R179" s="4"/>
    </row>
    <row r="180" spans="4:18" x14ac:dyDescent="0.2">
      <c r="D180" s="134"/>
      <c r="R180" s="4"/>
    </row>
    <row r="181" spans="4:18" x14ac:dyDescent="0.2">
      <c r="D181" s="134"/>
      <c r="R181" s="4"/>
    </row>
    <row r="182" spans="4:18" x14ac:dyDescent="0.2">
      <c r="D182" s="134"/>
      <c r="R182" s="4"/>
    </row>
    <row r="183" spans="4:18" x14ac:dyDescent="0.2">
      <c r="D183" s="134"/>
      <c r="R183" s="4"/>
    </row>
    <row r="184" spans="4:18" x14ac:dyDescent="0.2">
      <c r="D184" s="134"/>
      <c r="R184" s="4"/>
    </row>
    <row r="185" spans="4:18" x14ac:dyDescent="0.2">
      <c r="D185" s="134"/>
      <c r="R185" s="4"/>
    </row>
    <row r="186" spans="4:18" x14ac:dyDescent="0.2">
      <c r="D186" s="134"/>
      <c r="R186" s="4"/>
    </row>
    <row r="187" spans="4:18" x14ac:dyDescent="0.2">
      <c r="D187" s="134"/>
      <c r="R187" s="4"/>
    </row>
    <row r="188" spans="4:18" x14ac:dyDescent="0.2">
      <c r="D188" s="134"/>
      <c r="R188" s="4"/>
    </row>
    <row r="189" spans="4:18" x14ac:dyDescent="0.2">
      <c r="D189" s="134"/>
      <c r="R189" s="4"/>
    </row>
    <row r="190" spans="4:18" x14ac:dyDescent="0.2">
      <c r="D190" s="134"/>
      <c r="R190" s="4"/>
    </row>
    <row r="191" spans="4:18" x14ac:dyDescent="0.2">
      <c r="D191" s="134"/>
      <c r="R191" s="4"/>
    </row>
    <row r="192" spans="4:18" x14ac:dyDescent="0.2">
      <c r="D192" s="134"/>
      <c r="R192" s="4"/>
    </row>
    <row r="193" spans="4:18" x14ac:dyDescent="0.2">
      <c r="D193" s="134"/>
      <c r="R193" s="4"/>
    </row>
    <row r="194" spans="4:18" x14ac:dyDescent="0.2">
      <c r="D194" s="134"/>
      <c r="R194" s="4"/>
    </row>
    <row r="195" spans="4:18" x14ac:dyDescent="0.2">
      <c r="D195" s="134"/>
      <c r="R195" s="4"/>
    </row>
    <row r="196" spans="4:18" x14ac:dyDescent="0.2">
      <c r="D196" s="134"/>
      <c r="R196" s="4"/>
    </row>
    <row r="197" spans="4:18" x14ac:dyDescent="0.2">
      <c r="D197" s="134"/>
      <c r="R197" s="4"/>
    </row>
    <row r="198" spans="4:18" x14ac:dyDescent="0.2">
      <c r="D198" s="134"/>
      <c r="R198" s="4"/>
    </row>
    <row r="199" spans="4:18" x14ac:dyDescent="0.2">
      <c r="D199" s="134"/>
      <c r="R199" s="4"/>
    </row>
    <row r="200" spans="4:18" x14ac:dyDescent="0.2">
      <c r="D200" s="134"/>
      <c r="R200" s="4"/>
    </row>
    <row r="201" spans="4:18" x14ac:dyDescent="0.2">
      <c r="D201" s="134"/>
      <c r="R201" s="4"/>
    </row>
    <row r="202" spans="4:18" x14ac:dyDescent="0.2">
      <c r="D202" s="134"/>
      <c r="R202" s="4"/>
    </row>
    <row r="203" spans="4:18" x14ac:dyDescent="0.2">
      <c r="D203" s="134"/>
      <c r="R203" s="4"/>
    </row>
    <row r="204" spans="4:18" x14ac:dyDescent="0.2">
      <c r="D204" s="134"/>
      <c r="R204" s="4"/>
    </row>
    <row r="205" spans="4:18" x14ac:dyDescent="0.2">
      <c r="D205" s="134"/>
      <c r="R205" s="4"/>
    </row>
    <row r="206" spans="4:18" x14ac:dyDescent="0.2">
      <c r="D206" s="134"/>
      <c r="R206" s="4"/>
    </row>
    <row r="207" spans="4:18" x14ac:dyDescent="0.2">
      <c r="D207" s="134"/>
      <c r="R207" s="4"/>
    </row>
    <row r="208" spans="4:18" x14ac:dyDescent="0.2">
      <c r="D208" s="134"/>
      <c r="R208" s="4"/>
    </row>
    <row r="209" spans="4:18" x14ac:dyDescent="0.2">
      <c r="D209" s="134"/>
      <c r="R209" s="4"/>
    </row>
    <row r="210" spans="4:18" x14ac:dyDescent="0.2">
      <c r="D210" s="134"/>
      <c r="R210" s="4"/>
    </row>
    <row r="211" spans="4:18" x14ac:dyDescent="0.2">
      <c r="D211" s="134"/>
      <c r="R211" s="4"/>
    </row>
    <row r="212" spans="4:18" x14ac:dyDescent="0.2">
      <c r="D212" s="134"/>
      <c r="R212" s="4"/>
    </row>
    <row r="213" spans="4:18" x14ac:dyDescent="0.2">
      <c r="D213" s="134"/>
      <c r="R213" s="4"/>
    </row>
    <row r="214" spans="4:18" x14ac:dyDescent="0.2">
      <c r="D214" s="134"/>
      <c r="R214" s="4"/>
    </row>
    <row r="215" spans="4:18" x14ac:dyDescent="0.2">
      <c r="D215" s="134"/>
      <c r="R215" s="4"/>
    </row>
    <row r="216" spans="4:18" x14ac:dyDescent="0.2">
      <c r="D216" s="134"/>
      <c r="R216" s="4"/>
    </row>
    <row r="217" spans="4:18" x14ac:dyDescent="0.2">
      <c r="D217" s="134"/>
      <c r="R217" s="4"/>
    </row>
    <row r="218" spans="4:18" x14ac:dyDescent="0.2">
      <c r="D218" s="134"/>
      <c r="R218" s="4"/>
    </row>
    <row r="219" spans="4:18" x14ac:dyDescent="0.2">
      <c r="D219" s="134"/>
      <c r="R219" s="4"/>
    </row>
    <row r="220" spans="4:18" x14ac:dyDescent="0.2">
      <c r="D220" s="134"/>
      <c r="R220" s="4"/>
    </row>
    <row r="221" spans="4:18" x14ac:dyDescent="0.2">
      <c r="D221" s="134"/>
      <c r="R221" s="4"/>
    </row>
    <row r="222" spans="4:18" x14ac:dyDescent="0.2">
      <c r="D222" s="134"/>
      <c r="R222" s="4"/>
    </row>
    <row r="223" spans="4:18" x14ac:dyDescent="0.2">
      <c r="D223" s="134"/>
      <c r="R223" s="4"/>
    </row>
    <row r="224" spans="4:18" x14ac:dyDescent="0.2">
      <c r="D224" s="134"/>
      <c r="R224" s="4"/>
    </row>
    <row r="225" spans="4:18" x14ac:dyDescent="0.2">
      <c r="D225" s="134"/>
      <c r="R225" s="4"/>
    </row>
    <row r="226" spans="4:18" x14ac:dyDescent="0.2">
      <c r="D226" s="134"/>
      <c r="R226" s="4"/>
    </row>
    <row r="227" spans="4:18" x14ac:dyDescent="0.2">
      <c r="D227" s="134"/>
      <c r="R227" s="4"/>
    </row>
    <row r="228" spans="4:18" x14ac:dyDescent="0.2">
      <c r="D228" s="134"/>
      <c r="R228" s="4"/>
    </row>
    <row r="229" spans="4:18" x14ac:dyDescent="0.2">
      <c r="D229" s="134"/>
      <c r="R229" s="4"/>
    </row>
    <row r="230" spans="4:18" x14ac:dyDescent="0.2">
      <c r="D230" s="134"/>
      <c r="R230" s="4"/>
    </row>
    <row r="231" spans="4:18" x14ac:dyDescent="0.2">
      <c r="D231" s="134"/>
      <c r="R231" s="4"/>
    </row>
    <row r="232" spans="4:18" x14ac:dyDescent="0.2">
      <c r="D232" s="134"/>
      <c r="R232" s="4"/>
    </row>
    <row r="233" spans="4:18" x14ac:dyDescent="0.2">
      <c r="D233" s="134"/>
      <c r="R233" s="4"/>
    </row>
    <row r="234" spans="4:18" x14ac:dyDescent="0.2">
      <c r="D234" s="134"/>
      <c r="R234" s="4"/>
    </row>
    <row r="235" spans="4:18" x14ac:dyDescent="0.2">
      <c r="D235" s="134"/>
      <c r="R235" s="4"/>
    </row>
    <row r="236" spans="4:18" x14ac:dyDescent="0.2">
      <c r="D236" s="134"/>
      <c r="R236" s="4"/>
    </row>
    <row r="237" spans="4:18" x14ac:dyDescent="0.2">
      <c r="D237" s="134"/>
      <c r="R237" s="4"/>
    </row>
    <row r="238" spans="4:18" x14ac:dyDescent="0.2">
      <c r="D238" s="134"/>
      <c r="R238" s="4"/>
    </row>
    <row r="239" spans="4:18" x14ac:dyDescent="0.2">
      <c r="D239" s="134"/>
      <c r="R239" s="4"/>
    </row>
    <row r="240" spans="4:18" x14ac:dyDescent="0.2">
      <c r="D240" s="134"/>
      <c r="R240" s="4"/>
    </row>
    <row r="241" spans="4:18" x14ac:dyDescent="0.2">
      <c r="D241" s="134"/>
      <c r="R241" s="4"/>
    </row>
    <row r="242" spans="4:18" x14ac:dyDescent="0.2">
      <c r="D242" s="134"/>
      <c r="R242" s="4"/>
    </row>
    <row r="243" spans="4:18" x14ac:dyDescent="0.2">
      <c r="D243" s="134"/>
      <c r="R243" s="4"/>
    </row>
    <row r="244" spans="4:18" x14ac:dyDescent="0.2">
      <c r="D244" s="134"/>
      <c r="R244" s="4"/>
    </row>
    <row r="245" spans="4:18" x14ac:dyDescent="0.2">
      <c r="D245" s="134"/>
      <c r="R245" s="4"/>
    </row>
    <row r="246" spans="4:18" x14ac:dyDescent="0.2">
      <c r="D246" s="134"/>
      <c r="R246" s="4"/>
    </row>
    <row r="247" spans="4:18" x14ac:dyDescent="0.2">
      <c r="D247" s="134"/>
      <c r="R247" s="4"/>
    </row>
    <row r="248" spans="4:18" x14ac:dyDescent="0.2">
      <c r="D248" s="134"/>
      <c r="R248" s="4"/>
    </row>
    <row r="249" spans="4:18" x14ac:dyDescent="0.2">
      <c r="D249" s="134"/>
      <c r="R249" s="4"/>
    </row>
    <row r="250" spans="4:18" x14ac:dyDescent="0.2">
      <c r="D250" s="134"/>
      <c r="R250" s="4"/>
    </row>
    <row r="251" spans="4:18" x14ac:dyDescent="0.2">
      <c r="D251" s="134"/>
      <c r="R251" s="4"/>
    </row>
    <row r="252" spans="4:18" x14ac:dyDescent="0.2">
      <c r="D252" s="134"/>
      <c r="R252" s="4"/>
    </row>
    <row r="253" spans="4:18" x14ac:dyDescent="0.2">
      <c r="D253" s="134"/>
      <c r="R253" s="4"/>
    </row>
    <row r="254" spans="4:18" x14ac:dyDescent="0.2">
      <c r="D254" s="134"/>
      <c r="R254" s="4"/>
    </row>
    <row r="255" spans="4:18" x14ac:dyDescent="0.2">
      <c r="D255" s="134"/>
      <c r="R255" s="4"/>
    </row>
    <row r="256" spans="4:18" x14ac:dyDescent="0.2">
      <c r="D256" s="134"/>
      <c r="R256" s="4"/>
    </row>
    <row r="257" spans="4:18" x14ac:dyDescent="0.2">
      <c r="D257" s="134"/>
      <c r="R257" s="4"/>
    </row>
    <row r="258" spans="4:18" x14ac:dyDescent="0.2">
      <c r="D258" s="134"/>
      <c r="R258" s="4"/>
    </row>
    <row r="259" spans="4:18" x14ac:dyDescent="0.2">
      <c r="D259" s="134"/>
      <c r="R259" s="4"/>
    </row>
    <row r="260" spans="4:18" x14ac:dyDescent="0.2">
      <c r="D260" s="134"/>
      <c r="R260" s="4"/>
    </row>
    <row r="261" spans="4:18" x14ac:dyDescent="0.2">
      <c r="D261" s="134"/>
      <c r="R261" s="4"/>
    </row>
    <row r="262" spans="4:18" x14ac:dyDescent="0.2">
      <c r="D262" s="134"/>
      <c r="R262" s="4"/>
    </row>
    <row r="263" spans="4:18" x14ac:dyDescent="0.2">
      <c r="D263" s="134"/>
      <c r="R263" s="4"/>
    </row>
    <row r="264" spans="4:18" x14ac:dyDescent="0.2">
      <c r="D264" s="134"/>
      <c r="R264" s="4"/>
    </row>
    <row r="265" spans="4:18" x14ac:dyDescent="0.2">
      <c r="D265" s="134"/>
      <c r="R265" s="4"/>
    </row>
    <row r="266" spans="4:18" x14ac:dyDescent="0.2">
      <c r="D266" s="134"/>
      <c r="R266" s="4"/>
    </row>
    <row r="267" spans="4:18" x14ac:dyDescent="0.2">
      <c r="D267" s="134"/>
      <c r="R267" s="4"/>
    </row>
    <row r="268" spans="4:18" x14ac:dyDescent="0.2">
      <c r="D268" s="134"/>
      <c r="R268" s="4"/>
    </row>
    <row r="269" spans="4:18" x14ac:dyDescent="0.2">
      <c r="D269" s="134"/>
      <c r="R269" s="4"/>
    </row>
    <row r="270" spans="4:18" x14ac:dyDescent="0.2">
      <c r="D270" s="134"/>
    </row>
    <row r="271" spans="4:18" x14ac:dyDescent="0.2">
      <c r="D271" s="134"/>
    </row>
    <row r="272" spans="4:18" x14ac:dyDescent="0.2">
      <c r="D272" s="134"/>
    </row>
    <row r="273" spans="4:4" x14ac:dyDescent="0.2">
      <c r="D273" s="134"/>
    </row>
    <row r="274" spans="4:4" x14ac:dyDescent="0.2">
      <c r="D274" s="134"/>
    </row>
  </sheetData>
  <mergeCells count="15">
    <mergeCell ref="D28:F28"/>
    <mergeCell ref="D2:G2"/>
    <mergeCell ref="I2:L2"/>
    <mergeCell ref="D25:G25"/>
    <mergeCell ref="D26:F26"/>
    <mergeCell ref="D27:F27"/>
    <mergeCell ref="D22:E22"/>
    <mergeCell ref="D36:F36"/>
    <mergeCell ref="E38:H38"/>
    <mergeCell ref="D29:F29"/>
    <mergeCell ref="D30:F30"/>
    <mergeCell ref="D31:F31"/>
    <mergeCell ref="D32:F32"/>
    <mergeCell ref="D33:F33"/>
    <mergeCell ref="D34:F34"/>
  </mergeCells>
  <conditionalFormatting sqref="F18:F20">
    <cfRule type="colorScale" priority="1">
      <colorScale>
        <cfvo type="min"/>
        <cfvo type="num" val="0"/>
        <cfvo type="num" val="0"/>
        <color rgb="FF63BE7B"/>
        <color rgb="FFFFEB84"/>
        <color rgb="FFF8696B"/>
      </colorScale>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6D18-AE13-43A1-A029-995196C08E6F}">
  <sheetPr codeName="Tabelle2"/>
  <dimension ref="A1:Q315"/>
  <sheetViews>
    <sheetView zoomScale="70" zoomScaleNormal="70" workbookViewId="0">
      <selection activeCell="E38" sqref="E38:H38"/>
    </sheetView>
  </sheetViews>
  <sheetFormatPr baseColWidth="10" defaultRowHeight="15" x14ac:dyDescent="0.25"/>
  <cols>
    <col min="1" max="1" width="26.42578125" style="168" customWidth="1"/>
    <col min="2" max="2" width="50" style="170" customWidth="1"/>
    <col min="3" max="3" width="36.7109375" style="170" customWidth="1"/>
    <col min="4" max="4" width="15.5703125" style="174" customWidth="1"/>
    <col min="5" max="5" width="28.42578125" style="170" customWidth="1"/>
    <col min="6" max="6" width="13" style="170" customWidth="1"/>
    <col min="7" max="7" width="34.28515625" style="170" customWidth="1"/>
    <col min="8" max="8" width="30" style="170" customWidth="1"/>
    <col min="9" max="9" width="16.28515625" style="170" customWidth="1"/>
    <col min="10" max="10" width="27.28515625" style="170" customWidth="1"/>
    <col min="11" max="11" width="153.7109375" style="170" customWidth="1"/>
    <col min="12" max="12" width="89" style="170" customWidth="1"/>
    <col min="13" max="13" width="24" style="174" customWidth="1"/>
    <col min="14" max="15" width="14.28515625" style="174" customWidth="1"/>
    <col min="16" max="16" width="17.7109375" style="350" customWidth="1"/>
    <col min="17" max="17" width="11.42578125" style="170"/>
  </cols>
  <sheetData>
    <row r="1" spans="2:16" ht="29.25" thickBot="1" x14ac:dyDescent="0.3">
      <c r="D1" s="171"/>
      <c r="E1" s="172"/>
      <c r="L1" s="173" t="s">
        <v>137</v>
      </c>
      <c r="P1" s="171"/>
    </row>
    <row r="2" spans="2:16" ht="39" customHeight="1" thickBot="1" x14ac:dyDescent="0.3">
      <c r="B2" s="175" t="s">
        <v>168</v>
      </c>
      <c r="C2" s="176"/>
      <c r="D2" s="177"/>
      <c r="E2" s="178"/>
      <c r="G2" s="175" t="s">
        <v>168</v>
      </c>
      <c r="H2" s="176"/>
      <c r="I2" s="177"/>
      <c r="J2" s="178"/>
      <c r="L2" s="173"/>
      <c r="P2" s="171"/>
    </row>
    <row r="3" spans="2:16" ht="57" customHeight="1" thickBot="1" x14ac:dyDescent="0.3">
      <c r="B3" s="179" t="s">
        <v>169</v>
      </c>
      <c r="C3" s="180"/>
      <c r="D3" s="180"/>
      <c r="E3" s="181"/>
      <c r="G3" s="182" t="s">
        <v>3</v>
      </c>
      <c r="H3" s="180"/>
      <c r="I3" s="180"/>
      <c r="J3" s="181"/>
      <c r="L3" s="183" t="s">
        <v>4</v>
      </c>
      <c r="P3" s="171"/>
    </row>
    <row r="4" spans="2:16" x14ac:dyDescent="0.25">
      <c r="B4" s="184" t="s">
        <v>170</v>
      </c>
      <c r="C4" s="185"/>
      <c r="D4" s="186" t="s">
        <v>171</v>
      </c>
      <c r="E4" s="187"/>
      <c r="F4" s="169"/>
      <c r="G4" s="188" t="s">
        <v>170</v>
      </c>
      <c r="H4" s="189" t="s">
        <v>1</v>
      </c>
      <c r="I4" s="186" t="s">
        <v>171</v>
      </c>
      <c r="J4" s="187"/>
      <c r="L4" s="190"/>
      <c r="P4" s="171"/>
    </row>
    <row r="5" spans="2:16" ht="21" x14ac:dyDescent="0.25">
      <c r="B5" s="191" t="s">
        <v>7</v>
      </c>
      <c r="C5" s="192" t="s">
        <v>172</v>
      </c>
      <c r="D5" s="193">
        <v>61</v>
      </c>
      <c r="E5" s="194">
        <f>IF(D5&gt;E23,D5,E23)</f>
        <v>61</v>
      </c>
      <c r="F5" s="169"/>
      <c r="G5" s="195" t="s">
        <v>7</v>
      </c>
      <c r="H5" s="192" t="s">
        <v>8</v>
      </c>
      <c r="I5" s="196">
        <v>62</v>
      </c>
      <c r="J5" s="197"/>
      <c r="L5" s="170" t="s">
        <v>9</v>
      </c>
      <c r="M5" s="198">
        <f>IF(E23="",D17,E24)</f>
        <v>0.11016827345758795</v>
      </c>
      <c r="N5" s="198" t="s">
        <v>10</v>
      </c>
      <c r="P5" s="171"/>
    </row>
    <row r="6" spans="2:16" x14ac:dyDescent="0.25">
      <c r="B6" s="199"/>
      <c r="C6" s="200" t="s">
        <v>16</v>
      </c>
      <c r="D6" s="201" t="s">
        <v>173</v>
      </c>
      <c r="E6" s="194" t="str">
        <f>D6</f>
        <v>F</v>
      </c>
      <c r="G6" s="199"/>
      <c r="H6" s="200" t="s">
        <v>13</v>
      </c>
      <c r="I6" s="202" t="s">
        <v>166</v>
      </c>
      <c r="J6" s="203"/>
      <c r="L6" s="170" t="s">
        <v>14</v>
      </c>
      <c r="M6" s="204">
        <f>0.46*D15*21</f>
        <v>40.572000000000003</v>
      </c>
      <c r="N6" s="198">
        <f>M5*0.6</f>
        <v>6.6100964074552765E-2</v>
      </c>
      <c r="P6" s="171"/>
    </row>
    <row r="7" spans="2:16" x14ac:dyDescent="0.25">
      <c r="B7" s="199"/>
      <c r="C7" s="200" t="s">
        <v>174</v>
      </c>
      <c r="D7" s="201">
        <v>114</v>
      </c>
      <c r="E7" s="194">
        <f>D7</f>
        <v>114</v>
      </c>
      <c r="G7" s="199"/>
      <c r="H7" s="200" t="s">
        <v>17</v>
      </c>
      <c r="I7" s="202" t="s">
        <v>167</v>
      </c>
      <c r="J7" s="203"/>
      <c r="L7" s="170" t="s">
        <v>18</v>
      </c>
      <c r="M7" s="198">
        <f>0.6*D15*21</f>
        <v>52.92</v>
      </c>
      <c r="P7" s="171"/>
    </row>
    <row r="8" spans="2:16" x14ac:dyDescent="0.25">
      <c r="B8" s="205"/>
      <c r="C8" s="206" t="s">
        <v>24</v>
      </c>
      <c r="D8" s="207" t="s">
        <v>167</v>
      </c>
      <c r="E8" s="194" t="str">
        <f>D8</f>
        <v>N</v>
      </c>
      <c r="G8" s="199"/>
      <c r="H8" s="200" t="s">
        <v>21</v>
      </c>
      <c r="I8" s="202">
        <v>130</v>
      </c>
      <c r="J8" s="197"/>
      <c r="L8" s="170" t="s">
        <v>22</v>
      </c>
      <c r="M8" s="198">
        <v>80</v>
      </c>
      <c r="P8" s="171"/>
    </row>
    <row r="9" spans="2:16" x14ac:dyDescent="0.25">
      <c r="B9" s="208"/>
      <c r="C9" s="209"/>
      <c r="D9" s="210"/>
      <c r="E9" s="194" t="s">
        <v>1</v>
      </c>
      <c r="G9" s="205"/>
      <c r="H9" s="206" t="s">
        <v>24</v>
      </c>
      <c r="I9" s="211" t="s">
        <v>27</v>
      </c>
      <c r="J9" s="197"/>
      <c r="L9" s="170" t="s">
        <v>25</v>
      </c>
      <c r="M9" s="204">
        <f>0.2*D15*21</f>
        <v>17.64</v>
      </c>
      <c r="P9" s="171"/>
    </row>
    <row r="10" spans="2:16" x14ac:dyDescent="0.25">
      <c r="B10" s="191" t="s">
        <v>30</v>
      </c>
      <c r="C10" s="192" t="s">
        <v>31</v>
      </c>
      <c r="D10" s="196" t="s">
        <v>167</v>
      </c>
      <c r="E10" s="194" t="str">
        <f>D10</f>
        <v>N</v>
      </c>
      <c r="G10" s="208"/>
      <c r="H10" s="209"/>
      <c r="I10" s="210"/>
      <c r="J10" s="197"/>
      <c r="L10" s="170" t="s">
        <v>28</v>
      </c>
      <c r="M10" s="204">
        <v>0.37</v>
      </c>
      <c r="O10" s="212"/>
      <c r="P10" s="171"/>
    </row>
    <row r="11" spans="2:16" ht="21" x14ac:dyDescent="0.25">
      <c r="B11" s="205"/>
      <c r="C11" s="206" t="s">
        <v>17</v>
      </c>
      <c r="D11" s="211" t="s">
        <v>27</v>
      </c>
      <c r="E11" s="194" t="str">
        <f>D11</f>
        <v>J</v>
      </c>
      <c r="G11" s="195" t="s">
        <v>30</v>
      </c>
      <c r="H11" s="192" t="s">
        <v>31</v>
      </c>
      <c r="I11" s="196" t="s">
        <v>27</v>
      </c>
      <c r="J11" s="197"/>
      <c r="L11" s="170" t="s">
        <v>32</v>
      </c>
      <c r="M11" s="213">
        <v>2.2999999999999998</v>
      </c>
      <c r="P11" s="171"/>
    </row>
    <row r="12" spans="2:16" x14ac:dyDescent="0.25">
      <c r="B12" s="208"/>
      <c r="C12" s="209"/>
      <c r="D12" s="210"/>
      <c r="E12" s="194" t="s">
        <v>1</v>
      </c>
      <c r="G12" s="199"/>
      <c r="H12" s="200" t="s">
        <v>34</v>
      </c>
      <c r="I12" s="202" t="s">
        <v>167</v>
      </c>
      <c r="J12" s="197"/>
      <c r="L12" s="170" t="s">
        <v>35</v>
      </c>
      <c r="M12" s="213">
        <v>19.91</v>
      </c>
      <c r="P12" s="171"/>
    </row>
    <row r="13" spans="2:16" x14ac:dyDescent="0.25">
      <c r="B13" s="191" t="s">
        <v>40</v>
      </c>
      <c r="C13" s="192" t="s">
        <v>41</v>
      </c>
      <c r="D13" s="214">
        <v>1.4</v>
      </c>
      <c r="E13" s="194">
        <f>D13</f>
        <v>1.4</v>
      </c>
      <c r="G13" s="199"/>
      <c r="H13" s="200" t="s">
        <v>37</v>
      </c>
      <c r="I13" s="202" t="s">
        <v>167</v>
      </c>
      <c r="J13" s="197"/>
      <c r="L13" s="170" t="s">
        <v>38</v>
      </c>
      <c r="M13" s="215">
        <v>191494</v>
      </c>
      <c r="P13" s="171"/>
    </row>
    <row r="14" spans="2:16" x14ac:dyDescent="0.25">
      <c r="B14" s="199"/>
      <c r="C14" s="200" t="s">
        <v>48</v>
      </c>
      <c r="D14" s="216">
        <v>6.4</v>
      </c>
      <c r="E14" s="194">
        <f>D14</f>
        <v>6.4</v>
      </c>
      <c r="G14" s="199"/>
      <c r="H14" s="200" t="s">
        <v>42</v>
      </c>
      <c r="I14" s="202" t="s">
        <v>167</v>
      </c>
      <c r="J14" s="197"/>
      <c r="L14" s="217" t="s">
        <v>4</v>
      </c>
      <c r="M14" s="218" t="s">
        <v>43</v>
      </c>
      <c r="N14" s="218" t="s">
        <v>44</v>
      </c>
      <c r="O14" s="218" t="s">
        <v>45</v>
      </c>
      <c r="P14" s="219" t="s">
        <v>46</v>
      </c>
    </row>
    <row r="15" spans="2:16" x14ac:dyDescent="0.25">
      <c r="B15" s="220"/>
      <c r="C15" s="206" t="s">
        <v>51</v>
      </c>
      <c r="D15" s="221">
        <v>4.2</v>
      </c>
      <c r="E15" s="194">
        <f>D15</f>
        <v>4.2</v>
      </c>
      <c r="G15" s="205"/>
      <c r="H15" s="206" t="s">
        <v>175</v>
      </c>
      <c r="I15" s="211" t="s">
        <v>27</v>
      </c>
      <c r="J15" s="197"/>
      <c r="M15" s="222"/>
      <c r="N15" s="222"/>
      <c r="O15" s="222"/>
      <c r="P15" s="223"/>
    </row>
    <row r="16" spans="2:16" ht="15.75" x14ac:dyDescent="0.25">
      <c r="B16" s="224"/>
      <c r="C16" s="225"/>
      <c r="D16" s="226"/>
      <c r="E16" s="227" t="s">
        <v>54</v>
      </c>
      <c r="G16" s="208"/>
      <c r="H16" s="209"/>
      <c r="I16" s="210"/>
      <c r="J16" s="197"/>
      <c r="L16" s="170" t="s">
        <v>52</v>
      </c>
      <c r="M16" s="222">
        <f>$M$5</f>
        <v>0.11016827345758795</v>
      </c>
      <c r="N16" s="222">
        <f>$M$5</f>
        <v>0.11016827345758795</v>
      </c>
      <c r="O16" s="222">
        <f>$M$5</f>
        <v>0.11016827345758795</v>
      </c>
      <c r="P16" s="223">
        <f>$M$5</f>
        <v>0.11016827345758795</v>
      </c>
    </row>
    <row r="17" spans="2:17" ht="23.25" x14ac:dyDescent="0.25">
      <c r="B17" s="228" t="s">
        <v>57</v>
      </c>
      <c r="C17" s="229" t="s">
        <v>58</v>
      </c>
      <c r="D17" s="230">
        <f>IF(D6="M",(1-POWER(0.88936,EXP((3.06117*LN(D5)+1.1237*LN(D14*38.66)-0.93263*LN(D13*38.66)+(IF(D8="N",1.93303*LN(D7),1.99881*LN(D7)))+(IF(D11="N",0,0.65451))+(IF(D10="N",0,0.57367)))-23.9802))),(1-POWER(0.95012,EXP((2.32888*LN(D5)+1.20904*LN(D14*38.66)-0.70833*LN(D13*38.66)+(IF(D8="N",2.76157*LN(D7),2.82263*LN(D7)))+(IF(D11="N",0,0.52873))+(IF(D10="N",0,0.69154)))-26.1931))))</f>
        <v>0.11016827345758795</v>
      </c>
      <c r="E17" s="231">
        <f>(D17*0.6)*0.7</f>
        <v>4.627067485218693E-2</v>
      </c>
      <c r="G17" s="195" t="s">
        <v>40</v>
      </c>
      <c r="H17" s="192" t="s">
        <v>41</v>
      </c>
      <c r="I17" s="214">
        <v>1.4</v>
      </c>
      <c r="J17" s="197"/>
      <c r="L17" s="170" t="s">
        <v>55</v>
      </c>
      <c r="M17" s="222">
        <f>M16*1.111</f>
        <v>0.12239695181138022</v>
      </c>
      <c r="N17" s="222">
        <f>N16*1.111</f>
        <v>0.12239695181138022</v>
      </c>
      <c r="O17" s="222">
        <f>O16*1.111</f>
        <v>0.12239695181138022</v>
      </c>
      <c r="P17" s="223">
        <f>P16*1.111</f>
        <v>0.12239695181138022</v>
      </c>
    </row>
    <row r="18" spans="2:17" ht="15.75" x14ac:dyDescent="0.25">
      <c r="B18" s="232" t="s">
        <v>61</v>
      </c>
      <c r="C18" s="233"/>
      <c r="D18" s="234">
        <f>M35</f>
        <v>666595.1798829484</v>
      </c>
      <c r="E18" s="235" t="s">
        <v>176</v>
      </c>
      <c r="G18" s="199"/>
      <c r="H18" s="200" t="s">
        <v>48</v>
      </c>
      <c r="I18" s="216">
        <v>4.9000000000000004</v>
      </c>
      <c r="J18" s="197"/>
      <c r="L18" s="170" t="s">
        <v>59</v>
      </c>
      <c r="M18" s="222">
        <f>M8</f>
        <v>80</v>
      </c>
      <c r="N18" s="222">
        <f>M7</f>
        <v>52.92</v>
      </c>
      <c r="O18" s="222">
        <f>M6</f>
        <v>40.572000000000003</v>
      </c>
      <c r="P18" s="223">
        <f>M9+M6</f>
        <v>58.212000000000003</v>
      </c>
    </row>
    <row r="19" spans="2:17" ht="23.25" x14ac:dyDescent="0.25">
      <c r="B19" s="224" t="s">
        <v>66</v>
      </c>
      <c r="C19" s="236"/>
      <c r="D19" s="237">
        <f>N35</f>
        <v>1084843.0604587751</v>
      </c>
      <c r="E19" s="238" t="str">
        <f>ROUND(ROUND(IF(D15&lt;0.8,IF(D6="F",1.5,1.1),IF(D15&gt;1.8,0.6,IF(D6="F",3.0306*EXP(-0.917*D15),(-0.5*D15)+1.5))),1)*(1-((POWER((EXP(-(EXP((IF(D6="M",-22.1,-29.8)))*(POWER(D5-10,IF(D6="M",4.71,6.36)))))),EXP((0.24*(D14-6))+(0.018*(D7-120))+(0.71*(IF(D11="N",0,1))))))/(POWER((EXP(-(EXP((IF(D6="M",-22.1,-29.8)))*(POWER(D5-20,IF(D6="M",4.71,6.36)))))),EXP((0.24*(D14-6))+(0.018*(D7-120))+(0.71*(IF(D11="N",0,1))))))))*100,1)+ROUND(ROUND(IF(D15&lt;0.8,IF(D6="F",1.5,1.1),IF(D15&gt;1.8,0.6,IF(D6="F",3.0306*EXP(-0.917*D15),(-0.5*D15)+1.5))),1)*(1-((POWER((EXP(-(EXP((IF(D6="M",-26.7,-31)))*(POWER(D5-10,IF(D6="M",5.64,6.62)))))),EXP((0.02*(D14-6))+(0.022*(D7-120))+(0.63*(IF(D11="N",0,1))))))/(POWER((EXP(-(EXP((IF(D6="M",-26.7,-31)))*(POWER(D5-20,IF(D6="M",5.64,6.62)))))),EXP((0.02*(D14-6))+(0.022*(D7-120))+(0.63*(IF(D11="N",0,1))))))))*100,1)&amp;"%"</f>
        <v>1.2%</v>
      </c>
      <c r="G19" s="199"/>
      <c r="H19" s="200" t="s">
        <v>63</v>
      </c>
      <c r="I19" s="202">
        <v>80</v>
      </c>
      <c r="J19" s="197"/>
      <c r="L19" s="170" t="s">
        <v>64</v>
      </c>
      <c r="M19" s="222">
        <f>M17/100*M18</f>
        <v>9.7917561449104171E-2</v>
      </c>
      <c r="N19" s="222">
        <f>N17/100*N18</f>
        <v>6.4772466898582418E-2</v>
      </c>
      <c r="O19" s="222">
        <f>O17/100*O18</f>
        <v>4.9658891288913189E-2</v>
      </c>
      <c r="P19" s="223">
        <f>P17/100*P18</f>
        <v>7.124971358844065E-2</v>
      </c>
    </row>
    <row r="20" spans="2:17" x14ac:dyDescent="0.25">
      <c r="B20" s="224" t="s">
        <v>69</v>
      </c>
      <c r="C20" s="236"/>
      <c r="D20" s="239">
        <f>O35</f>
        <v>37075.339858260297</v>
      </c>
      <c r="E20" s="194">
        <f>D20</f>
        <v>37075.339858260297</v>
      </c>
      <c r="G20" s="205"/>
      <c r="H20" s="206" t="s">
        <v>51</v>
      </c>
      <c r="I20" s="221">
        <v>6.7</v>
      </c>
      <c r="J20" s="197"/>
      <c r="L20" s="170" t="s">
        <v>67</v>
      </c>
      <c r="M20" s="222">
        <f>1/M19</f>
        <v>10.212672631964823</v>
      </c>
      <c r="N20" s="222">
        <f>1/N19</f>
        <v>15.438658551723087</v>
      </c>
      <c r="O20" s="222">
        <f>1/O19</f>
        <v>20.137380719638809</v>
      </c>
      <c r="P20" s="222">
        <f>1/P19</f>
        <v>14.035144137930081</v>
      </c>
    </row>
    <row r="21" spans="2:17" x14ac:dyDescent="0.25">
      <c r="B21" s="240" t="s">
        <v>72</v>
      </c>
      <c r="C21" s="241"/>
      <c r="D21" s="242">
        <f>P35</f>
        <v>85636.938575498411</v>
      </c>
      <c r="E21" s="194">
        <f>D21</f>
        <v>85636.938575498411</v>
      </c>
      <c r="G21" s="224"/>
      <c r="H21" s="225"/>
      <c r="I21" s="243"/>
      <c r="J21" s="244" t="s">
        <v>54</v>
      </c>
      <c r="L21" s="170" t="s">
        <v>70</v>
      </c>
      <c r="M21" s="245">
        <f>M13</f>
        <v>191494</v>
      </c>
      <c r="N21" s="245">
        <f>M13</f>
        <v>191494</v>
      </c>
      <c r="O21" s="245">
        <f>M13</f>
        <v>191494</v>
      </c>
      <c r="P21" s="246">
        <f>M13</f>
        <v>191494</v>
      </c>
    </row>
    <row r="22" spans="2:17" ht="23.25" x14ac:dyDescent="0.25">
      <c r="B22" s="247" t="s">
        <v>177</v>
      </c>
      <c r="C22" s="248">
        <f>O20</f>
        <v>20.137380719638809</v>
      </c>
      <c r="D22" s="249" t="s">
        <v>178</v>
      </c>
      <c r="E22" s="250"/>
      <c r="G22" s="251" t="s">
        <v>73</v>
      </c>
      <c r="H22" s="229" t="s">
        <v>1</v>
      </c>
      <c r="I22" s="230">
        <f>2*((1-POWER(0.914,EXP((-0.0478*I5)+(0.000515*I5^2)+IF(I6="F",0,0.3147)+IF(I12="N",0,0.4097)+IF(I13="N",0,0.2263)+IF(I14="N",0,0.4694)+IF(I15="N",0,0.6172)+IF(I11="N",0,0.4318)+IF(I7="N",0,0.5379)+(0.00419*(I18*38.66))-(0.013*(I17*38.66))-(0.0605*I19)+(0.000419*I19^2)+(0.00371*I8)+IF(I9="N",0,I8*0.00254)+1.5106)))-(1-0.78)*(((1-POWER(0.914,EXP((-0.0478*I5)+(0.000515*I5^2)+IF(I6="F",0,0.3147)+IF(I12="N",0,0.4097)+IF(I13="N",0,0.2263)+IF(I14="N",0,0.4694)+IF(I15="N",0,0.6172)+IF(I11="N",0,0.4318)+IF(I7="N",0,0.5379)+(0.00419*(I18*38.66))-(0.013*(I17*38.66))-(0.0605*I19)+(0.000419*I19^2)+(0.00371*I8)+IF(I9="N",0,I8*0.00254)+1.5106))))))</f>
        <v>0.24338011091009787</v>
      </c>
      <c r="J22" s="231">
        <f>(I22*0.6)*0.7</f>
        <v>0.10221964658224109</v>
      </c>
      <c r="M22" s="222"/>
      <c r="N22" s="222"/>
      <c r="O22" s="222"/>
      <c r="P22" s="223"/>
    </row>
    <row r="23" spans="2:17" x14ac:dyDescent="0.25">
      <c r="B23" s="252" t="s">
        <v>179</v>
      </c>
      <c r="C23" s="253"/>
      <c r="D23" s="254" t="s">
        <v>180</v>
      </c>
      <c r="E23" s="255">
        <v>56</v>
      </c>
      <c r="G23" s="256" t="s">
        <v>61</v>
      </c>
      <c r="H23" s="257"/>
      <c r="I23" s="258">
        <f>M68</f>
        <v>196928.05744273833</v>
      </c>
      <c r="J23" s="197"/>
      <c r="L23" s="170" t="s">
        <v>75</v>
      </c>
      <c r="M23" s="222">
        <f>M10</f>
        <v>0.37</v>
      </c>
      <c r="N23" s="222">
        <v>0</v>
      </c>
      <c r="O23" s="222">
        <f>M10</f>
        <v>0.37</v>
      </c>
      <c r="P23" s="223">
        <f>M10</f>
        <v>0.37</v>
      </c>
    </row>
    <row r="24" spans="2:17" ht="23.25" x14ac:dyDescent="0.25">
      <c r="B24" s="251" t="s">
        <v>181</v>
      </c>
      <c r="C24" s="259" t="s">
        <v>182</v>
      </c>
      <c r="D24" s="260"/>
      <c r="E24" s="261">
        <f>IFERROR(IF(E6="M",(1-POWER(0.88936,EXP((3.06117*LN(E5)+1.1237*LN(E14*38.66)-0.93263*LN(E13*38.66)+(IF(E8="N",1.93303*LN(E7),1.99881*LN(E7)))+(IF(E11="N",0,0.65451))+(IF(E10="N",0,0.57367)))-23.9802))),(1-POWER(0.95012,EXP((2.32888*LN(E5)+1.20904*LN(E14*38.66)-0.70833*LN(E13*38.66)+(IF(E8="N",2.76157*LN(E7),2.82263*LN(E7)))+(IF(E11="N",0,0.52873))+(IF(E10="N",0,0.69154)))-26.1931)))),"")</f>
        <v>0.11016827345758795</v>
      </c>
      <c r="G24" s="256" t="s">
        <v>66</v>
      </c>
      <c r="H24" s="257"/>
      <c r="I24" s="258">
        <f>N68</f>
        <v>170675.04351764487</v>
      </c>
      <c r="J24" s="262" t="s">
        <v>183</v>
      </c>
      <c r="L24" s="170" t="s">
        <v>77</v>
      </c>
      <c r="M24" s="222">
        <f>M12</f>
        <v>19.91</v>
      </c>
      <c r="N24" s="222">
        <f>M12</f>
        <v>19.91</v>
      </c>
      <c r="O24" s="222">
        <v>0</v>
      </c>
      <c r="P24" s="223">
        <f>M11</f>
        <v>2.2999999999999998</v>
      </c>
    </row>
    <row r="25" spans="2:17" x14ac:dyDescent="0.25">
      <c r="B25" s="263" t="s">
        <v>184</v>
      </c>
      <c r="C25" s="225" t="s">
        <v>1</v>
      </c>
      <c r="D25" s="264" t="s">
        <v>185</v>
      </c>
      <c r="E25" s="265"/>
      <c r="G25" s="256" t="s">
        <v>69</v>
      </c>
      <c r="H25" s="257"/>
      <c r="I25" s="258">
        <f>O68</f>
        <v>-126635.94505629232</v>
      </c>
      <c r="J25" s="262" t="s">
        <v>186</v>
      </c>
      <c r="L25" s="170" t="s">
        <v>79</v>
      </c>
      <c r="M25" s="222">
        <f>3650*(M23+M24)</f>
        <v>74022</v>
      </c>
      <c r="N25" s="222">
        <f>3650*(N23+N24)</f>
        <v>72671.5</v>
      </c>
      <c r="O25" s="222">
        <f>3650*(O23+O24)</f>
        <v>1350.5</v>
      </c>
      <c r="P25" s="223">
        <f>3650*(P23+P24)</f>
        <v>9745.5</v>
      </c>
    </row>
    <row r="26" spans="2:17" ht="15.75" thickBot="1" x14ac:dyDescent="0.3">
      <c r="B26" s="266" t="s">
        <v>187</v>
      </c>
      <c r="C26" s="267"/>
      <c r="D26" s="268"/>
      <c r="E26" s="269"/>
      <c r="G26" s="256" t="s">
        <v>72</v>
      </c>
      <c r="H26" s="257"/>
      <c r="I26" s="258">
        <f>P68</f>
        <v>-112856.27172079579</v>
      </c>
      <c r="J26" s="197"/>
      <c r="L26" s="170" t="s">
        <v>82</v>
      </c>
      <c r="M26" s="222">
        <v>10000</v>
      </c>
      <c r="N26" s="222">
        <v>10000</v>
      </c>
      <c r="O26" s="222">
        <v>10000</v>
      </c>
      <c r="P26" s="223">
        <v>10000</v>
      </c>
    </row>
    <row r="27" spans="2:17" ht="15.75" thickBot="1" x14ac:dyDescent="0.3">
      <c r="B27" s="270" t="s">
        <v>188</v>
      </c>
      <c r="C27" s="271"/>
      <c r="D27" s="272" t="s">
        <v>189</v>
      </c>
      <c r="E27" s="271"/>
      <c r="G27" s="273"/>
      <c r="H27" s="225" t="s">
        <v>1</v>
      </c>
      <c r="I27" s="264" t="s">
        <v>185</v>
      </c>
      <c r="J27" s="265"/>
      <c r="M27" s="218" t="s">
        <v>86</v>
      </c>
      <c r="N27" s="218" t="s">
        <v>87</v>
      </c>
      <c r="O27" s="218" t="s">
        <v>88</v>
      </c>
      <c r="P27" s="219" t="s">
        <v>89</v>
      </c>
    </row>
    <row r="28" spans="2:17" ht="15.75" thickBot="1" x14ac:dyDescent="0.3">
      <c r="B28" s="274" t="s">
        <v>190</v>
      </c>
      <c r="C28" s="275">
        <v>5</v>
      </c>
      <c r="D28" s="276" t="s">
        <v>191</v>
      </c>
      <c r="E28" s="277"/>
      <c r="F28" s="217"/>
      <c r="G28" s="266"/>
      <c r="H28" s="267"/>
      <c r="I28" s="278" t="s">
        <v>1</v>
      </c>
      <c r="J28" s="279"/>
      <c r="K28" s="217"/>
      <c r="L28" s="217" t="s">
        <v>93</v>
      </c>
      <c r="M28" s="215">
        <f>(M20*(M25+M26))-M21</f>
        <v>666595.1798829484</v>
      </c>
      <c r="N28" s="215">
        <f>(N20*(N25+N26))-N21</f>
        <v>1084843.0604587751</v>
      </c>
      <c r="O28" s="215">
        <f>(O20*(O25+O26))-O21</f>
        <v>37075.339858260297</v>
      </c>
      <c r="P28" s="280">
        <f>(P20*(P25+P26))-P21</f>
        <v>85636.938575498411</v>
      </c>
      <c r="Q28" s="215"/>
    </row>
    <row r="29" spans="2:17" ht="15.75" thickBot="1" x14ac:dyDescent="0.3">
      <c r="B29" s="274" t="s">
        <v>192</v>
      </c>
      <c r="C29" s="281">
        <v>10</v>
      </c>
      <c r="D29" s="282" t="s">
        <v>193</v>
      </c>
      <c r="E29" s="283"/>
      <c r="G29" s="270" t="s">
        <v>188</v>
      </c>
      <c r="H29" s="270"/>
      <c r="I29" s="270"/>
      <c r="J29" s="272"/>
      <c r="L29" s="217" t="s">
        <v>96</v>
      </c>
      <c r="M29" s="284">
        <f>M36</f>
        <v>4.4810238434778551</v>
      </c>
      <c r="N29" s="284">
        <f>N36</f>
        <v>6.6651543153246324</v>
      </c>
      <c r="O29" s="284">
        <f>O36</f>
        <v>1.1936109740162109</v>
      </c>
      <c r="P29" s="285">
        <f>P36</f>
        <v>1.4472042913903225</v>
      </c>
    </row>
    <row r="30" spans="2:17" x14ac:dyDescent="0.25">
      <c r="B30" s="274" t="s">
        <v>194</v>
      </c>
      <c r="C30" s="286">
        <f>IFERROR(J157,"")</f>
        <v>2.4298558960992258</v>
      </c>
      <c r="D30" s="282" t="s">
        <v>195</v>
      </c>
      <c r="E30" s="283"/>
      <c r="G30" s="287" t="s">
        <v>190</v>
      </c>
      <c r="H30" s="288"/>
      <c r="I30" s="275">
        <v>10</v>
      </c>
      <c r="J30" s="277"/>
      <c r="L30" s="170" t="s">
        <v>1</v>
      </c>
      <c r="P30" s="171"/>
    </row>
    <row r="31" spans="2:17" x14ac:dyDescent="0.25">
      <c r="B31" s="274" t="s">
        <v>196</v>
      </c>
      <c r="C31" s="286">
        <f>IFERROR(J158,"")</f>
        <v>2.1048885834947559</v>
      </c>
      <c r="D31" s="282"/>
      <c r="E31" s="283"/>
      <c r="G31" s="274" t="s">
        <v>192</v>
      </c>
      <c r="H31" s="197"/>
      <c r="I31" s="281">
        <v>20</v>
      </c>
      <c r="J31" s="277"/>
      <c r="L31" s="170" t="s">
        <v>104</v>
      </c>
      <c r="M31" s="289">
        <f>SUM(M25:M26)</f>
        <v>84022</v>
      </c>
      <c r="N31" s="289">
        <f>SUM(N25:N26)</f>
        <v>82671.5</v>
      </c>
      <c r="O31" s="289">
        <f>SUM(O25:O26)</f>
        <v>11350.5</v>
      </c>
      <c r="P31" s="289">
        <f>SUM(P25:P26)</f>
        <v>19745.5</v>
      </c>
    </row>
    <row r="32" spans="2:17" x14ac:dyDescent="0.25">
      <c r="B32" s="274" t="s">
        <v>197</v>
      </c>
      <c r="C32" s="286">
        <f>D15/100*40</f>
        <v>1.6800000000000002</v>
      </c>
      <c r="D32" s="282"/>
      <c r="E32" s="283"/>
      <c r="G32" s="274" t="s">
        <v>194</v>
      </c>
      <c r="H32" s="197"/>
      <c r="I32" s="286">
        <v>5.0981290807150774</v>
      </c>
      <c r="J32" s="277"/>
      <c r="L32" s="170" t="s">
        <v>67</v>
      </c>
      <c r="M32" s="290">
        <f>M20</f>
        <v>10.212672631964823</v>
      </c>
      <c r="N32" s="290">
        <f>N20</f>
        <v>15.438658551723087</v>
      </c>
      <c r="O32" s="290">
        <f>O20</f>
        <v>20.137380719638809</v>
      </c>
      <c r="P32" s="291">
        <f>P20</f>
        <v>14.035144137930081</v>
      </c>
    </row>
    <row r="33" spans="1:16" ht="15.75" thickBot="1" x14ac:dyDescent="0.3">
      <c r="A33" s="292"/>
      <c r="B33" s="293" t="s">
        <v>198</v>
      </c>
      <c r="C33" s="294">
        <f>J159</f>
        <v>2.3199999999999998</v>
      </c>
      <c r="D33" s="295"/>
      <c r="E33" s="296" t="s">
        <v>1</v>
      </c>
      <c r="F33" s="292"/>
      <c r="G33" s="274" t="s">
        <v>196</v>
      </c>
      <c r="H33" s="197"/>
      <c r="I33" s="286">
        <v>4.8630184515223673</v>
      </c>
      <c r="J33" s="277"/>
      <c r="L33" s="170" t="s">
        <v>132</v>
      </c>
      <c r="M33" s="289">
        <f>M31*M32</f>
        <v>858089.1798829484</v>
      </c>
      <c r="N33" s="289">
        <f>N31*N32</f>
        <v>1276337.0604587751</v>
      </c>
      <c r="O33" s="289">
        <f>O31*O32</f>
        <v>228569.3398582603</v>
      </c>
      <c r="P33" s="289">
        <f>P31*P32</f>
        <v>277130.93857549841</v>
      </c>
    </row>
    <row r="34" spans="1:16" x14ac:dyDescent="0.25">
      <c r="B34" s="297"/>
      <c r="C34" s="298"/>
      <c r="D34" s="299" t="s">
        <v>199</v>
      </c>
      <c r="E34" s="300">
        <v>0.62335236142990735</v>
      </c>
      <c r="F34" s="292" t="s">
        <v>1</v>
      </c>
      <c r="G34" s="274" t="s">
        <v>197</v>
      </c>
      <c r="H34" s="197"/>
      <c r="I34" s="286">
        <f>I20/100*40</f>
        <v>2.68</v>
      </c>
      <c r="J34" s="277"/>
      <c r="L34" s="170" t="s">
        <v>133</v>
      </c>
      <c r="M34" s="289">
        <f>M21</f>
        <v>191494</v>
      </c>
      <c r="N34" s="289">
        <f>N21</f>
        <v>191494</v>
      </c>
      <c r="O34" s="289">
        <f>O21</f>
        <v>191494</v>
      </c>
      <c r="P34" s="301">
        <f>P21</f>
        <v>191494</v>
      </c>
    </row>
    <row r="35" spans="1:16" ht="18.75" thickBot="1" x14ac:dyDescent="0.3">
      <c r="B35" s="302" t="s">
        <v>200</v>
      </c>
      <c r="C35" s="303"/>
      <c r="D35" s="304" t="s">
        <v>201</v>
      </c>
      <c r="E35" s="305">
        <v>0.2073337627975185</v>
      </c>
      <c r="F35" s="306"/>
      <c r="G35" s="293" t="s">
        <v>198</v>
      </c>
      <c r="H35" s="307"/>
      <c r="I35" s="294">
        <v>5.36</v>
      </c>
      <c r="J35" s="308"/>
      <c r="L35" s="170" t="s">
        <v>134</v>
      </c>
      <c r="M35" s="289">
        <f>M33-M34</f>
        <v>666595.1798829484</v>
      </c>
      <c r="N35" s="289">
        <f>N33-N34</f>
        <v>1084843.0604587751</v>
      </c>
      <c r="O35" s="289">
        <f>O33-O34</f>
        <v>37075.339858260297</v>
      </c>
      <c r="P35" s="289">
        <f>P33-P34</f>
        <v>85636.938575498411</v>
      </c>
    </row>
    <row r="36" spans="1:16" ht="16.5" thickBot="1" x14ac:dyDescent="0.3">
      <c r="B36" s="309"/>
      <c r="C36" s="310"/>
      <c r="D36" s="311" t="s">
        <v>202</v>
      </c>
      <c r="E36" s="312">
        <v>0.30366074506208196</v>
      </c>
      <c r="F36" s="306"/>
      <c r="G36" s="273"/>
      <c r="H36" s="313" t="s">
        <v>203</v>
      </c>
      <c r="I36" s="282" t="s">
        <v>204</v>
      </c>
      <c r="J36" s="308"/>
      <c r="L36" s="170" t="s">
        <v>135</v>
      </c>
      <c r="M36" s="314">
        <f>M33/M34</f>
        <v>4.4810238434778551</v>
      </c>
      <c r="N36" s="314">
        <f>N33/N34</f>
        <v>6.6651543153246324</v>
      </c>
      <c r="O36" s="314">
        <f>O33/O34</f>
        <v>1.1936109740162109</v>
      </c>
      <c r="P36" s="314">
        <f>P33/P34</f>
        <v>1.4472042913903225</v>
      </c>
    </row>
    <row r="37" spans="1:16" ht="15.75" thickBot="1" x14ac:dyDescent="0.3">
      <c r="B37" s="292"/>
      <c r="C37" s="292"/>
      <c r="D37" s="292"/>
      <c r="E37" s="292"/>
      <c r="F37" s="306"/>
      <c r="G37" s="315"/>
      <c r="H37" s="316"/>
      <c r="I37" s="282" t="s">
        <v>193</v>
      </c>
      <c r="J37" s="283"/>
      <c r="L37" s="170" t="s">
        <v>136</v>
      </c>
      <c r="M37" s="314">
        <f>M33/O33</f>
        <v>3.754174468085107</v>
      </c>
      <c r="N37" s="314">
        <f>N33/O33</f>
        <v>5.58402566700439</v>
      </c>
      <c r="O37" s="314">
        <f>O33/O33</f>
        <v>1</v>
      </c>
      <c r="P37" s="317">
        <f>P33/O33</f>
        <v>1.2124589358631914</v>
      </c>
    </row>
    <row r="38" spans="1:16" ht="16.5" thickBot="1" x14ac:dyDescent="0.3">
      <c r="B38" s="318"/>
      <c r="C38" s="319"/>
      <c r="D38" s="299" t="s">
        <v>199</v>
      </c>
      <c r="E38" s="300">
        <v>0.411882219584774</v>
      </c>
      <c r="F38" s="320"/>
      <c r="G38" s="321"/>
      <c r="H38" s="295"/>
      <c r="I38" s="295"/>
      <c r="J38" s="296"/>
      <c r="M38" s="314"/>
      <c r="N38" s="314"/>
      <c r="O38" s="314"/>
      <c r="P38" s="317"/>
    </row>
    <row r="39" spans="1:16" ht="20.25" customHeight="1" x14ac:dyDescent="0.25">
      <c r="B39" s="302" t="s">
        <v>205</v>
      </c>
      <c r="C39" s="322"/>
      <c r="D39" s="304" t="s">
        <v>201</v>
      </c>
      <c r="E39" s="305">
        <v>9.8614143749824218E-2</v>
      </c>
      <c r="F39" s="323"/>
      <c r="G39" s="324" t="s">
        <v>195</v>
      </c>
      <c r="H39" s="325" t="s">
        <v>206</v>
      </c>
      <c r="I39" s="325"/>
      <c r="J39" s="326"/>
      <c r="M39" s="314"/>
      <c r="N39" s="314"/>
      <c r="O39" s="314"/>
      <c r="P39" s="317"/>
    </row>
    <row r="40" spans="1:16" ht="18" customHeight="1" thickBot="1" x14ac:dyDescent="0.3">
      <c r="B40" s="327"/>
      <c r="C40" s="328"/>
      <c r="D40" s="311" t="s">
        <v>202</v>
      </c>
      <c r="E40" s="312">
        <v>0.16221170088973375</v>
      </c>
      <c r="F40" s="329"/>
      <c r="G40" s="330" t="s">
        <v>1</v>
      </c>
      <c r="H40" s="331">
        <f>I20</f>
        <v>6.7</v>
      </c>
      <c r="I40" s="332"/>
      <c r="J40" s="333"/>
      <c r="M40" s="314"/>
      <c r="N40" s="314"/>
      <c r="O40" s="314"/>
      <c r="P40" s="317"/>
    </row>
    <row r="41" spans="1:16" ht="17.25" customHeight="1" thickBot="1" x14ac:dyDescent="0.3">
      <c r="B41" s="334"/>
      <c r="C41" s="334"/>
      <c r="D41" s="334"/>
      <c r="E41" s="320"/>
      <c r="F41" s="292"/>
      <c r="G41" s="330" t="s">
        <v>1</v>
      </c>
      <c r="H41" s="332" t="s">
        <v>207</v>
      </c>
      <c r="I41" s="332"/>
      <c r="J41" s="333"/>
      <c r="L41" s="173" t="s">
        <v>137</v>
      </c>
      <c r="P41" s="317"/>
    </row>
    <row r="42" spans="1:16" ht="17.25" customHeight="1" x14ac:dyDescent="0.25">
      <c r="B42" s="335" t="s">
        <v>208</v>
      </c>
      <c r="C42" s="336"/>
      <c r="D42" s="337"/>
      <c r="E42" s="338"/>
      <c r="F42" s="292"/>
      <c r="G42" s="339" t="s">
        <v>209</v>
      </c>
      <c r="H42" s="340">
        <f>$C$47/100*61</f>
        <v>1.7689999999999999</v>
      </c>
      <c r="I42" s="332"/>
      <c r="J42" s="333"/>
      <c r="L42" s="183" t="s">
        <v>4</v>
      </c>
      <c r="P42" s="317"/>
    </row>
    <row r="43" spans="1:16" ht="17.25" customHeight="1" x14ac:dyDescent="0.25">
      <c r="B43" s="341" t="s">
        <v>210</v>
      </c>
      <c r="C43" s="342"/>
      <c r="D43" s="342"/>
      <c r="E43" s="343"/>
      <c r="G43" s="339" t="s">
        <v>211</v>
      </c>
      <c r="H43" s="340">
        <f>H40/100*56</f>
        <v>3.7520000000000002</v>
      </c>
      <c r="I43" s="332"/>
      <c r="J43" s="333"/>
      <c r="L43" s="190" t="s">
        <v>138</v>
      </c>
      <c r="P43" s="317"/>
    </row>
    <row r="44" spans="1:16" ht="15.75" thickBot="1" x14ac:dyDescent="0.3">
      <c r="B44" s="344" t="s">
        <v>212</v>
      </c>
      <c r="C44" s="267"/>
      <c r="D44" s="267"/>
      <c r="E44" s="345"/>
      <c r="G44" s="339" t="s">
        <v>213</v>
      </c>
      <c r="H44" s="340">
        <f>H40/100*50</f>
        <v>3.35</v>
      </c>
      <c r="I44" s="332"/>
      <c r="J44" s="333"/>
      <c r="L44" s="190"/>
      <c r="P44" s="317"/>
    </row>
    <row r="45" spans="1:16" ht="15.75" thickBot="1" x14ac:dyDescent="0.3">
      <c r="B45" s="225"/>
      <c r="C45" s="225"/>
      <c r="D45" s="225"/>
      <c r="E45" s="225"/>
      <c r="G45" s="339" t="s">
        <v>214</v>
      </c>
      <c r="H45" s="340">
        <f>H40/100*45</f>
        <v>3.0150000000000001</v>
      </c>
      <c r="I45" s="332"/>
      <c r="J45" s="333"/>
      <c r="L45" s="170" t="s">
        <v>9</v>
      </c>
      <c r="M45" s="198">
        <f>I22*100</f>
        <v>24.338011091009786</v>
      </c>
      <c r="N45" s="198" t="s">
        <v>10</v>
      </c>
      <c r="P45" s="317"/>
    </row>
    <row r="46" spans="1:16" x14ac:dyDescent="0.25">
      <c r="B46" s="324" t="s">
        <v>195</v>
      </c>
      <c r="C46" s="325" t="s">
        <v>206</v>
      </c>
      <c r="D46" s="325"/>
      <c r="E46" s="326"/>
      <c r="G46" s="339" t="s">
        <v>215</v>
      </c>
      <c r="H46" s="340">
        <f>H40/100*64</f>
        <v>4.2880000000000003</v>
      </c>
      <c r="I46" s="332"/>
      <c r="J46" s="333"/>
      <c r="L46" s="170" t="s">
        <v>139</v>
      </c>
      <c r="M46" s="204">
        <f>0.46*I20*21</f>
        <v>64.722000000000008</v>
      </c>
      <c r="N46" s="198">
        <f>M45*0.6</f>
        <v>14.602806654605871</v>
      </c>
      <c r="P46" s="171"/>
    </row>
    <row r="47" spans="1:16" x14ac:dyDescent="0.25">
      <c r="B47" s="330" t="s">
        <v>1</v>
      </c>
      <c r="C47" s="331">
        <f>'Calculator (for experts)'!E17</f>
        <v>2.9</v>
      </c>
      <c r="D47" s="332"/>
      <c r="E47" s="333"/>
      <c r="G47" s="339" t="s">
        <v>216</v>
      </c>
      <c r="H47" s="340">
        <f>H40/100*59</f>
        <v>3.9530000000000003</v>
      </c>
      <c r="I47" s="332"/>
      <c r="J47" s="333"/>
      <c r="L47" s="170" t="s">
        <v>18</v>
      </c>
      <c r="M47" s="198">
        <f>0.6*I20*21</f>
        <v>84.419999999999987</v>
      </c>
      <c r="P47" s="171"/>
    </row>
    <row r="48" spans="1:16" x14ac:dyDescent="0.25">
      <c r="B48" s="330" t="s">
        <v>1</v>
      </c>
      <c r="C48" s="332" t="s">
        <v>207</v>
      </c>
      <c r="D48" s="332"/>
      <c r="E48" s="333"/>
      <c r="G48" s="339" t="s">
        <v>217</v>
      </c>
      <c r="H48" s="340">
        <f>H40/100*54</f>
        <v>3.6180000000000003</v>
      </c>
      <c r="I48" s="332"/>
      <c r="J48" s="333"/>
      <c r="L48" s="170" t="s">
        <v>22</v>
      </c>
      <c r="M48" s="198">
        <v>80</v>
      </c>
      <c r="P48" s="171"/>
    </row>
    <row r="49" spans="2:16" ht="15.75" thickBot="1" x14ac:dyDescent="0.3">
      <c r="B49" s="339" t="s">
        <v>209</v>
      </c>
      <c r="C49" s="340">
        <f>$C$47/100*61</f>
        <v>1.7689999999999999</v>
      </c>
      <c r="D49" s="332"/>
      <c r="E49" s="333"/>
      <c r="G49" s="346" t="s">
        <v>218</v>
      </c>
      <c r="H49" s="347">
        <f>H40/100*49</f>
        <v>3.2830000000000004</v>
      </c>
      <c r="I49" s="348"/>
      <c r="J49" s="349"/>
      <c r="L49" s="170" t="s">
        <v>25</v>
      </c>
      <c r="M49" s="204">
        <f>0.2*I20*21</f>
        <v>28.14</v>
      </c>
    </row>
    <row r="50" spans="2:16" x14ac:dyDescent="0.25">
      <c r="B50" s="339" t="s">
        <v>211</v>
      </c>
      <c r="C50" s="340">
        <f>C47/100*56</f>
        <v>1.6239999999999999</v>
      </c>
      <c r="D50" s="332"/>
      <c r="E50" s="333"/>
      <c r="L50" s="170" t="s">
        <v>28</v>
      </c>
      <c r="M50" s="204">
        <v>0.37</v>
      </c>
      <c r="O50" s="212"/>
    </row>
    <row r="51" spans="2:16" x14ac:dyDescent="0.25">
      <c r="B51" s="339" t="s">
        <v>213</v>
      </c>
      <c r="C51" s="340">
        <f>C47/100*50</f>
        <v>1.45</v>
      </c>
      <c r="D51" s="332"/>
      <c r="E51" s="333"/>
      <c r="L51" s="170" t="s">
        <v>32</v>
      </c>
      <c r="M51" s="213">
        <v>2.2999999999999998</v>
      </c>
    </row>
    <row r="52" spans="2:16" x14ac:dyDescent="0.25">
      <c r="B52" s="339" t="s">
        <v>214</v>
      </c>
      <c r="C52" s="340">
        <f>C47/100*45</f>
        <v>1.3049999999999999</v>
      </c>
      <c r="D52" s="332"/>
      <c r="E52" s="333"/>
      <c r="L52" s="170" t="s">
        <v>35</v>
      </c>
      <c r="M52" s="213">
        <v>19.91</v>
      </c>
    </row>
    <row r="53" spans="2:16" x14ac:dyDescent="0.25">
      <c r="B53" s="339" t="s">
        <v>215</v>
      </c>
      <c r="C53" s="340">
        <f>C47/100*64</f>
        <v>1.8559999999999999</v>
      </c>
      <c r="D53" s="332"/>
      <c r="E53" s="333"/>
      <c r="L53" s="170" t="s">
        <v>38</v>
      </c>
      <c r="M53" s="215">
        <v>191494</v>
      </c>
    </row>
    <row r="54" spans="2:16" x14ac:dyDescent="0.25">
      <c r="B54" s="339" t="s">
        <v>216</v>
      </c>
      <c r="C54" s="340">
        <f>C47/100*59</f>
        <v>1.7109999999999999</v>
      </c>
      <c r="D54" s="332"/>
      <c r="E54" s="333"/>
      <c r="L54" s="217" t="s">
        <v>4</v>
      </c>
      <c r="M54" s="218" t="s">
        <v>43</v>
      </c>
      <c r="N54" s="218" t="s">
        <v>44</v>
      </c>
      <c r="O54" s="218" t="s">
        <v>45</v>
      </c>
      <c r="P54" s="219" t="s">
        <v>46</v>
      </c>
    </row>
    <row r="55" spans="2:16" x14ac:dyDescent="0.25">
      <c r="B55" s="339" t="s">
        <v>217</v>
      </c>
      <c r="C55" s="340">
        <f>C47/100*54</f>
        <v>1.5659999999999998</v>
      </c>
      <c r="D55" s="332"/>
      <c r="E55" s="333"/>
      <c r="M55" s="222"/>
      <c r="N55" s="222"/>
      <c r="O55" s="222"/>
      <c r="P55" s="223"/>
    </row>
    <row r="56" spans="2:16" ht="15.75" thickBot="1" x14ac:dyDescent="0.3">
      <c r="B56" s="346" t="s">
        <v>218</v>
      </c>
      <c r="C56" s="347">
        <f>C47/100*49</f>
        <v>1.4209999999999998</v>
      </c>
      <c r="D56" s="348"/>
      <c r="E56" s="349"/>
      <c r="L56" s="170" t="s">
        <v>52</v>
      </c>
      <c r="M56" s="222">
        <f>$M$45</f>
        <v>24.338011091009786</v>
      </c>
      <c r="N56" s="222">
        <f>$M$45</f>
        <v>24.338011091009786</v>
      </c>
      <c r="O56" s="222">
        <f>$M$45</f>
        <v>24.338011091009786</v>
      </c>
      <c r="P56" s="222">
        <f>$M$45</f>
        <v>24.338011091009786</v>
      </c>
    </row>
    <row r="57" spans="2:16" x14ac:dyDescent="0.25">
      <c r="L57" s="170" t="s">
        <v>55</v>
      </c>
      <c r="M57" s="222">
        <f>M56*1.111</f>
        <v>27.039530322111872</v>
      </c>
      <c r="N57" s="222">
        <f>N56*1.111</f>
        <v>27.039530322111872</v>
      </c>
      <c r="O57" s="222">
        <f>O56*1.111</f>
        <v>27.039530322111872</v>
      </c>
      <c r="P57" s="223">
        <f>P56*1.111</f>
        <v>27.039530322111872</v>
      </c>
    </row>
    <row r="58" spans="2:16" x14ac:dyDescent="0.25">
      <c r="L58" s="170" t="s">
        <v>59</v>
      </c>
      <c r="M58" s="222">
        <f>M48</f>
        <v>80</v>
      </c>
      <c r="N58" s="222">
        <f>M47</f>
        <v>84.419999999999987</v>
      </c>
      <c r="O58" s="222">
        <f>M46</f>
        <v>64.722000000000008</v>
      </c>
      <c r="P58" s="223">
        <f>M49+M46</f>
        <v>92.862000000000009</v>
      </c>
    </row>
    <row r="59" spans="2:16" x14ac:dyDescent="0.25">
      <c r="L59" s="170" t="s">
        <v>64</v>
      </c>
      <c r="M59" s="222">
        <f>M57/100*M58</f>
        <v>21.631624257689495</v>
      </c>
      <c r="N59" s="222">
        <f>N57/100*N58</f>
        <v>22.826771497926838</v>
      </c>
      <c r="O59" s="222">
        <f>O57/100*O58</f>
        <v>17.500524815077249</v>
      </c>
      <c r="P59" s="223">
        <f>P57/100*P58</f>
        <v>25.109448647719528</v>
      </c>
    </row>
    <row r="60" spans="2:16" x14ac:dyDescent="0.25">
      <c r="L60" s="170" t="s">
        <v>67</v>
      </c>
      <c r="M60" s="222">
        <f>100/M59</f>
        <v>4.6228613630089539</v>
      </c>
      <c r="N60" s="222">
        <f>100/N59</f>
        <v>4.3808210026145025</v>
      </c>
      <c r="O60" s="222">
        <f>100/O59</f>
        <v>5.7141143512363053</v>
      </c>
      <c r="P60" s="223">
        <f>100/P59</f>
        <v>3.9825645478313647</v>
      </c>
    </row>
    <row r="61" spans="2:16" x14ac:dyDescent="0.25">
      <c r="L61" s="170" t="s">
        <v>70</v>
      </c>
      <c r="M61" s="245">
        <f>M53</f>
        <v>191494</v>
      </c>
      <c r="N61" s="245">
        <f>M53</f>
        <v>191494</v>
      </c>
      <c r="O61" s="245">
        <f>M53</f>
        <v>191494</v>
      </c>
      <c r="P61" s="246">
        <f>M53</f>
        <v>191494</v>
      </c>
    </row>
    <row r="62" spans="2:16" x14ac:dyDescent="0.25">
      <c r="M62" s="222"/>
      <c r="N62" s="222"/>
      <c r="O62" s="222"/>
      <c r="P62" s="223"/>
    </row>
    <row r="63" spans="2:16" x14ac:dyDescent="0.25">
      <c r="L63" s="170" t="s">
        <v>75</v>
      </c>
      <c r="M63" s="222">
        <f>M50</f>
        <v>0.37</v>
      </c>
      <c r="N63" s="222">
        <v>0</v>
      </c>
      <c r="O63" s="222">
        <f>M50</f>
        <v>0.37</v>
      </c>
      <c r="P63" s="223">
        <f>M50</f>
        <v>0.37</v>
      </c>
    </row>
    <row r="64" spans="2:16" x14ac:dyDescent="0.25">
      <c r="L64" s="170" t="s">
        <v>77</v>
      </c>
      <c r="M64" s="222">
        <f>M52</f>
        <v>19.91</v>
      </c>
      <c r="N64" s="222">
        <f>M52</f>
        <v>19.91</v>
      </c>
      <c r="O64" s="222">
        <v>0</v>
      </c>
      <c r="P64" s="223">
        <f>M51</f>
        <v>2.2999999999999998</v>
      </c>
    </row>
    <row r="65" spans="1:16" x14ac:dyDescent="0.25">
      <c r="L65" s="170" t="s">
        <v>79</v>
      </c>
      <c r="M65" s="222">
        <f>3650*(M63+M64)</f>
        <v>74022</v>
      </c>
      <c r="N65" s="222">
        <f>3650*(N63+N64)</f>
        <v>72671.5</v>
      </c>
      <c r="O65" s="222">
        <f>3650*(O63+O64)</f>
        <v>1350.5</v>
      </c>
      <c r="P65" s="223">
        <f>3650*(P63+P64)</f>
        <v>9745.5</v>
      </c>
    </row>
    <row r="66" spans="1:16" x14ac:dyDescent="0.25">
      <c r="L66" s="170" t="s">
        <v>82</v>
      </c>
      <c r="M66" s="222">
        <v>10000</v>
      </c>
      <c r="N66" s="222">
        <v>10000</v>
      </c>
      <c r="O66" s="222">
        <v>10000</v>
      </c>
      <c r="P66" s="223">
        <v>10000</v>
      </c>
    </row>
    <row r="67" spans="1:16" x14ac:dyDescent="0.25">
      <c r="M67" s="218" t="s">
        <v>86</v>
      </c>
      <c r="N67" s="218" t="s">
        <v>87</v>
      </c>
      <c r="O67" s="218" t="s">
        <v>88</v>
      </c>
      <c r="P67" s="219" t="s">
        <v>89</v>
      </c>
    </row>
    <row r="68" spans="1:16" x14ac:dyDescent="0.25">
      <c r="L68" s="217" t="s">
        <v>93</v>
      </c>
      <c r="M68" s="215">
        <f>(M60*(M65+M66))-M61</f>
        <v>196928.05744273833</v>
      </c>
      <c r="N68" s="215">
        <f>(N60*(N65+N66))-N61</f>
        <v>170675.04351764487</v>
      </c>
      <c r="O68" s="215">
        <f>(O60*(O65+O66))-O61</f>
        <v>-126635.94505629232</v>
      </c>
      <c r="P68" s="280">
        <f>(P60*(P65+P66))-P61</f>
        <v>-112856.27172079579</v>
      </c>
    </row>
    <row r="69" spans="1:16" x14ac:dyDescent="0.25">
      <c r="L69" s="217" t="s">
        <v>96</v>
      </c>
      <c r="M69" s="284">
        <f>M76</f>
        <v>2.0283771681762266</v>
      </c>
      <c r="N69" s="284">
        <f>N76</f>
        <v>1.8912814162200637</v>
      </c>
      <c r="O69" s="284">
        <f>O76</f>
        <v>0.33869497187226588</v>
      </c>
      <c r="P69" s="285">
        <f>P76</f>
        <v>0.41065374517846098</v>
      </c>
    </row>
    <row r="70" spans="1:16" x14ac:dyDescent="0.25">
      <c r="L70" s="170" t="s">
        <v>1</v>
      </c>
      <c r="P70" s="171"/>
    </row>
    <row r="71" spans="1:16" x14ac:dyDescent="0.25">
      <c r="L71" s="170" t="s">
        <v>104</v>
      </c>
      <c r="M71" s="289">
        <f>SUM(M65:M66)</f>
        <v>84022</v>
      </c>
      <c r="N71" s="289">
        <f>SUM(N65:N66)</f>
        <v>82671.5</v>
      </c>
      <c r="O71" s="289">
        <f>SUM(O65:O66)</f>
        <v>11350.5</v>
      </c>
      <c r="P71" s="289">
        <f>SUM(P65:P66)</f>
        <v>19745.5</v>
      </c>
    </row>
    <row r="72" spans="1:16" x14ac:dyDescent="0.25">
      <c r="L72" s="170" t="s">
        <v>67</v>
      </c>
      <c r="M72" s="290">
        <f>M60</f>
        <v>4.6228613630089539</v>
      </c>
      <c r="N72" s="290">
        <f>N60</f>
        <v>4.3808210026145025</v>
      </c>
      <c r="O72" s="290">
        <f>O60</f>
        <v>5.7141143512363053</v>
      </c>
      <c r="P72" s="291">
        <f>P60</f>
        <v>3.9825645478313647</v>
      </c>
    </row>
    <row r="73" spans="1:16" x14ac:dyDescent="0.25">
      <c r="L73" s="170" t="s">
        <v>132</v>
      </c>
      <c r="M73" s="289">
        <f>M71*M72</f>
        <v>388422.05744273833</v>
      </c>
      <c r="N73" s="289">
        <f>N71*N72</f>
        <v>362169.04351764487</v>
      </c>
      <c r="O73" s="289">
        <f>O71*O72</f>
        <v>64858.054943707684</v>
      </c>
      <c r="P73" s="289">
        <f>P71*P72</f>
        <v>78637.72827920421</v>
      </c>
    </row>
    <row r="74" spans="1:16" x14ac:dyDescent="0.25">
      <c r="L74" s="170" t="s">
        <v>133</v>
      </c>
      <c r="M74" s="289">
        <f>M61</f>
        <v>191494</v>
      </c>
      <c r="N74" s="289">
        <f>N61</f>
        <v>191494</v>
      </c>
      <c r="O74" s="289">
        <f>O61</f>
        <v>191494</v>
      </c>
      <c r="P74" s="301">
        <f>P61</f>
        <v>191494</v>
      </c>
    </row>
    <row r="75" spans="1:16" x14ac:dyDescent="0.25">
      <c r="L75" s="170" t="s">
        <v>134</v>
      </c>
      <c r="M75" s="289">
        <f>M73-M74</f>
        <v>196928.05744273833</v>
      </c>
      <c r="N75" s="289">
        <f>N73-N74</f>
        <v>170675.04351764487</v>
      </c>
      <c r="O75" s="289">
        <f>O73-O74</f>
        <v>-126635.94505629232</v>
      </c>
      <c r="P75" s="289">
        <f>P73-P74</f>
        <v>-112856.27172079579</v>
      </c>
    </row>
    <row r="76" spans="1:16" x14ac:dyDescent="0.25">
      <c r="L76" s="170" t="s">
        <v>135</v>
      </c>
      <c r="M76" s="314">
        <f>M73/M74</f>
        <v>2.0283771681762266</v>
      </c>
      <c r="N76" s="314">
        <f>N73/N74</f>
        <v>1.8912814162200637</v>
      </c>
      <c r="O76" s="314">
        <f>O73/O74</f>
        <v>0.33869497187226588</v>
      </c>
      <c r="P76" s="314">
        <f>P73/P74</f>
        <v>0.41065374517846098</v>
      </c>
    </row>
    <row r="77" spans="1:16" x14ac:dyDescent="0.25">
      <c r="L77" s="170" t="s">
        <v>136</v>
      </c>
      <c r="M77" s="314">
        <f>M73/O73</f>
        <v>5.9888021276595769</v>
      </c>
      <c r="N77" s="314">
        <f>N73/O73</f>
        <v>5.5840256670043926</v>
      </c>
      <c r="O77" s="314">
        <f>O73/O73</f>
        <v>1</v>
      </c>
      <c r="P77" s="317">
        <f>P73/O73</f>
        <v>1.2124589358631912</v>
      </c>
    </row>
    <row r="78" spans="1:16" x14ac:dyDescent="0.25">
      <c r="B78" s="351"/>
      <c r="C78" s="351"/>
      <c r="D78" s="352"/>
      <c r="M78" s="222"/>
      <c r="N78" s="222"/>
      <c r="O78" s="222"/>
      <c r="P78" s="223"/>
    </row>
    <row r="79" spans="1:16" x14ac:dyDescent="0.25">
      <c r="B79" s="225"/>
      <c r="C79" s="171"/>
      <c r="D79" s="350"/>
      <c r="M79" s="222"/>
      <c r="N79" s="222"/>
      <c r="O79" s="222"/>
      <c r="P79" s="223"/>
    </row>
    <row r="80" spans="1:16" x14ac:dyDescent="0.25">
      <c r="A80" s="353"/>
      <c r="B80" s="225" t="s">
        <v>142</v>
      </c>
      <c r="C80" s="171"/>
      <c r="D80" s="350"/>
      <c r="M80" s="222"/>
      <c r="N80" s="222"/>
      <c r="O80" s="222"/>
      <c r="P80" s="223"/>
    </row>
    <row r="81" spans="1:16" x14ac:dyDescent="0.25">
      <c r="A81" s="354" t="s">
        <v>140</v>
      </c>
      <c r="B81" s="225">
        <v>39.5</v>
      </c>
      <c r="C81" s="171"/>
      <c r="D81" s="350"/>
      <c r="M81" s="222"/>
      <c r="N81" s="222"/>
      <c r="O81" s="222"/>
      <c r="P81" s="223"/>
    </row>
    <row r="82" spans="1:16" x14ac:dyDescent="0.25">
      <c r="A82" s="355" t="s">
        <v>141</v>
      </c>
      <c r="B82" s="225">
        <v>56</v>
      </c>
      <c r="C82" s="171"/>
      <c r="D82" s="350"/>
      <c r="M82" s="222"/>
      <c r="N82" s="222"/>
      <c r="O82" s="222"/>
      <c r="P82" s="223"/>
    </row>
    <row r="83" spans="1:16" x14ac:dyDescent="0.25">
      <c r="A83" s="355">
        <v>84.7</v>
      </c>
      <c r="B83" s="356">
        <f>B81/B82</f>
        <v>0.7053571428571429</v>
      </c>
      <c r="C83" s="171"/>
      <c r="D83" s="350"/>
      <c r="M83" s="222"/>
      <c r="N83" s="222"/>
      <c r="O83" s="222"/>
      <c r="P83" s="223"/>
    </row>
    <row r="84" spans="1:16" x14ac:dyDescent="0.25">
      <c r="A84" s="355">
        <v>28</v>
      </c>
      <c r="B84" s="225"/>
      <c r="C84" s="171"/>
      <c r="D84" s="350"/>
      <c r="M84" s="222"/>
      <c r="N84" s="222"/>
      <c r="O84" s="222"/>
      <c r="P84" s="223"/>
    </row>
    <row r="85" spans="1:16" x14ac:dyDescent="0.25">
      <c r="A85" s="357">
        <f>A83/A84</f>
        <v>3.0249999999999999</v>
      </c>
      <c r="B85" s="225" t="s">
        <v>144</v>
      </c>
      <c r="C85" s="171"/>
      <c r="D85" s="350"/>
      <c r="M85" s="222"/>
      <c r="N85" s="222"/>
      <c r="O85" s="222"/>
      <c r="P85" s="223"/>
    </row>
    <row r="86" spans="1:16" x14ac:dyDescent="0.25">
      <c r="A86" s="355"/>
      <c r="B86" s="358">
        <f>A88+B83</f>
        <v>3.0053571428571426</v>
      </c>
      <c r="C86" s="171"/>
      <c r="D86" s="350"/>
      <c r="M86" s="222"/>
      <c r="N86" s="222"/>
      <c r="O86" s="222"/>
      <c r="P86" s="223"/>
    </row>
    <row r="87" spans="1:16" x14ac:dyDescent="0.25">
      <c r="A87" s="355" t="s">
        <v>143</v>
      </c>
      <c r="B87" s="225"/>
      <c r="C87" s="171"/>
      <c r="D87" s="350"/>
      <c r="M87" s="222"/>
      <c r="N87" s="222"/>
      <c r="O87" s="222"/>
      <c r="P87" s="223"/>
    </row>
    <row r="88" spans="1:16" x14ac:dyDescent="0.25">
      <c r="A88" s="359">
        <v>2.2999999999999998</v>
      </c>
      <c r="B88" s="225"/>
      <c r="C88" s="171"/>
      <c r="D88" s="350"/>
      <c r="M88" s="222"/>
      <c r="N88" s="222"/>
      <c r="O88" s="222"/>
      <c r="P88" s="223"/>
    </row>
    <row r="89" spans="1:16" x14ac:dyDescent="0.25">
      <c r="A89" s="355"/>
      <c r="B89" s="225"/>
      <c r="C89" s="171"/>
      <c r="D89" s="350"/>
      <c r="M89" s="222"/>
      <c r="N89" s="222"/>
      <c r="O89" s="222"/>
      <c r="P89" s="223"/>
    </row>
    <row r="90" spans="1:16" x14ac:dyDescent="0.25">
      <c r="A90" s="355"/>
      <c r="B90" s="225"/>
      <c r="C90" s="171"/>
      <c r="D90" s="350"/>
      <c r="M90" s="222"/>
      <c r="N90" s="222"/>
      <c r="O90" s="222"/>
      <c r="P90" s="223"/>
    </row>
    <row r="91" spans="1:16" x14ac:dyDescent="0.25">
      <c r="A91" s="355" t="s">
        <v>145</v>
      </c>
      <c r="B91" s="360"/>
      <c r="C91" s="360"/>
      <c r="D91" s="361"/>
      <c r="M91" s="222"/>
      <c r="N91" s="222"/>
      <c r="O91" s="222"/>
      <c r="P91" s="223"/>
    </row>
    <row r="92" spans="1:16" x14ac:dyDescent="0.25">
      <c r="A92" s="355" t="s">
        <v>146</v>
      </c>
      <c r="B92" s="174"/>
      <c r="C92" s="174"/>
      <c r="D92" s="171"/>
      <c r="M92" s="222"/>
      <c r="N92" s="222"/>
      <c r="O92" s="222"/>
      <c r="P92" s="223"/>
    </row>
    <row r="93" spans="1:16" x14ac:dyDescent="0.25">
      <c r="A93" s="362"/>
      <c r="B93" s="174"/>
      <c r="C93" s="174"/>
      <c r="D93" s="171"/>
      <c r="M93" s="222"/>
      <c r="N93" s="222"/>
      <c r="O93" s="222"/>
      <c r="P93" s="223"/>
    </row>
    <row r="94" spans="1:16" x14ac:dyDescent="0.25">
      <c r="A94" s="174"/>
      <c r="B94" s="351"/>
      <c r="C94" s="351"/>
      <c r="D94" s="352"/>
      <c r="M94" s="222"/>
      <c r="N94" s="222"/>
      <c r="O94" s="222"/>
      <c r="P94" s="223"/>
    </row>
    <row r="95" spans="1:16" x14ac:dyDescent="0.25">
      <c r="A95" s="174"/>
      <c r="B95" s="171"/>
      <c r="C95" s="171"/>
      <c r="D95" s="350"/>
      <c r="M95" s="222"/>
      <c r="N95" s="222"/>
      <c r="O95" s="222"/>
      <c r="P95" s="223"/>
    </row>
    <row r="96" spans="1:16" x14ac:dyDescent="0.25">
      <c r="A96" s="353"/>
      <c r="B96" s="171"/>
      <c r="C96" s="171"/>
      <c r="D96" s="350"/>
      <c r="M96" s="222"/>
      <c r="N96" s="222"/>
      <c r="O96" s="222"/>
      <c r="P96" s="223"/>
    </row>
    <row r="97" spans="1:16" x14ac:dyDescent="0.25">
      <c r="A97" s="355" t="s">
        <v>147</v>
      </c>
      <c r="B97" s="171"/>
      <c r="C97" s="171"/>
      <c r="D97" s="350"/>
      <c r="M97" s="222"/>
      <c r="N97" s="222"/>
      <c r="O97" s="222"/>
      <c r="P97" s="223"/>
    </row>
    <row r="98" spans="1:16" x14ac:dyDescent="0.25">
      <c r="A98" s="355" t="s">
        <v>148</v>
      </c>
      <c r="B98" s="171"/>
      <c r="C98" s="171"/>
      <c r="D98" s="350"/>
      <c r="M98" s="222"/>
      <c r="N98" s="222"/>
      <c r="O98" s="222"/>
      <c r="P98" s="223"/>
    </row>
    <row r="99" spans="1:16" x14ac:dyDescent="0.25">
      <c r="A99" s="355" t="s">
        <v>149</v>
      </c>
      <c r="B99" s="360"/>
      <c r="C99" s="360"/>
      <c r="D99" s="361"/>
      <c r="M99" s="222"/>
      <c r="N99" s="222"/>
      <c r="O99" s="222"/>
      <c r="P99" s="223"/>
    </row>
    <row r="100" spans="1:16" x14ac:dyDescent="0.25">
      <c r="A100" s="355" t="s">
        <v>150</v>
      </c>
      <c r="B100" s="225"/>
      <c r="M100" s="222"/>
      <c r="N100" s="222"/>
      <c r="O100" s="222"/>
      <c r="P100" s="223"/>
    </row>
    <row r="101" spans="1:16" x14ac:dyDescent="0.25">
      <c r="A101" s="362"/>
      <c r="B101" s="225"/>
      <c r="M101" s="222"/>
      <c r="N101" s="222"/>
      <c r="O101" s="222"/>
      <c r="P101" s="223"/>
    </row>
    <row r="102" spans="1:16" x14ac:dyDescent="0.25">
      <c r="B102" s="225"/>
      <c r="M102" s="222"/>
      <c r="N102" s="222"/>
      <c r="O102" s="222"/>
      <c r="P102" s="223"/>
    </row>
    <row r="103" spans="1:16" x14ac:dyDescent="0.25">
      <c r="B103" s="225"/>
      <c r="M103" s="222"/>
      <c r="N103" s="222"/>
      <c r="O103" s="222"/>
      <c r="P103" s="223"/>
    </row>
    <row r="104" spans="1:16" x14ac:dyDescent="0.25">
      <c r="B104" s="225"/>
      <c r="M104" s="222"/>
      <c r="N104" s="222"/>
      <c r="O104" s="222"/>
      <c r="P104" s="223"/>
    </row>
    <row r="105" spans="1:16" x14ac:dyDescent="0.25">
      <c r="B105" s="225"/>
      <c r="M105" s="222"/>
      <c r="N105" s="222"/>
      <c r="O105" s="222"/>
      <c r="P105" s="223"/>
    </row>
    <row r="106" spans="1:16" x14ac:dyDescent="0.25">
      <c r="B106" s="225"/>
      <c r="M106" s="222"/>
      <c r="N106" s="222"/>
      <c r="O106" s="222"/>
      <c r="P106" s="223"/>
    </row>
    <row r="107" spans="1:16" x14ac:dyDescent="0.25">
      <c r="B107" s="225"/>
      <c r="M107" s="222"/>
      <c r="N107" s="222"/>
      <c r="O107" s="222"/>
      <c r="P107" s="223"/>
    </row>
    <row r="108" spans="1:16" x14ac:dyDescent="0.25">
      <c r="B108" s="225"/>
      <c r="M108" s="222"/>
      <c r="N108" s="222"/>
      <c r="O108" s="222"/>
      <c r="P108" s="223"/>
    </row>
    <row r="109" spans="1:16" x14ac:dyDescent="0.25">
      <c r="B109" s="225"/>
      <c r="M109" s="222"/>
      <c r="N109" s="222"/>
      <c r="O109" s="222"/>
      <c r="P109" s="223"/>
    </row>
    <row r="110" spans="1:16" x14ac:dyDescent="0.25">
      <c r="B110" s="225"/>
      <c r="M110" s="222"/>
      <c r="N110" s="222"/>
      <c r="O110" s="222"/>
      <c r="P110" s="223"/>
    </row>
    <row r="111" spans="1:16" x14ac:dyDescent="0.25">
      <c r="B111" s="225"/>
      <c r="M111" s="222"/>
      <c r="N111" s="222"/>
      <c r="O111" s="222"/>
      <c r="P111" s="223"/>
    </row>
    <row r="112" spans="1:16" x14ac:dyDescent="0.25">
      <c r="B112" s="225"/>
      <c r="M112" s="222"/>
      <c r="N112" s="222"/>
      <c r="O112" s="222"/>
      <c r="P112" s="223"/>
    </row>
    <row r="113" spans="2:17" x14ac:dyDescent="0.25">
      <c r="B113" s="225"/>
      <c r="M113" s="222"/>
      <c r="N113" s="222"/>
      <c r="O113" s="222"/>
      <c r="P113" s="223"/>
    </row>
    <row r="114" spans="2:17" x14ac:dyDescent="0.25">
      <c r="B114" s="225"/>
      <c r="M114" s="222"/>
      <c r="N114" s="222"/>
      <c r="O114" s="222"/>
      <c r="P114" s="223"/>
    </row>
    <row r="115" spans="2:17" x14ac:dyDescent="0.25">
      <c r="B115" s="225"/>
      <c r="M115" s="222"/>
      <c r="N115" s="222"/>
      <c r="O115" s="222"/>
      <c r="P115" s="223"/>
    </row>
    <row r="116" spans="2:17" x14ac:dyDescent="0.25">
      <c r="B116" s="225"/>
      <c r="M116" s="222"/>
      <c r="N116" s="222"/>
      <c r="O116" s="222"/>
      <c r="P116" s="223"/>
    </row>
    <row r="117" spans="2:17" x14ac:dyDescent="0.25">
      <c r="B117" s="225"/>
      <c r="M117" s="222"/>
      <c r="N117" s="222"/>
      <c r="O117" s="222"/>
      <c r="P117" s="223"/>
    </row>
    <row r="118" spans="2:17" x14ac:dyDescent="0.25">
      <c r="B118" s="225"/>
      <c r="M118" s="222"/>
      <c r="N118" s="222"/>
      <c r="O118" s="222"/>
      <c r="P118" s="223"/>
    </row>
    <row r="119" spans="2:17" x14ac:dyDescent="0.25">
      <c r="B119" s="225"/>
      <c r="M119" s="222"/>
      <c r="N119" s="222"/>
      <c r="O119" s="222"/>
      <c r="P119" s="223"/>
    </row>
    <row r="120" spans="2:17" x14ac:dyDescent="0.25">
      <c r="B120" s="225"/>
      <c r="M120" s="222"/>
      <c r="N120" s="222"/>
      <c r="O120" s="222"/>
      <c r="P120" s="223"/>
    </row>
    <row r="121" spans="2:17" x14ac:dyDescent="0.25">
      <c r="B121" s="225"/>
      <c r="M121" s="222"/>
      <c r="N121" s="222"/>
      <c r="O121" s="222"/>
      <c r="P121" s="223"/>
    </row>
    <row r="122" spans="2:17" x14ac:dyDescent="0.25">
      <c r="B122" s="225"/>
      <c r="M122" s="222"/>
      <c r="N122" s="222"/>
      <c r="O122" s="222"/>
      <c r="P122" s="223"/>
    </row>
    <row r="123" spans="2:17" x14ac:dyDescent="0.25">
      <c r="B123" s="225"/>
      <c r="M123" s="222"/>
      <c r="N123" s="222"/>
      <c r="O123" s="222"/>
      <c r="P123" s="223"/>
    </row>
    <row r="124" spans="2:17" x14ac:dyDescent="0.25">
      <c r="B124" s="225"/>
      <c r="M124" s="222"/>
      <c r="N124" s="222"/>
      <c r="O124" s="222"/>
      <c r="P124" s="223"/>
    </row>
    <row r="125" spans="2:17" x14ac:dyDescent="0.25">
      <c r="B125" s="225"/>
      <c r="M125" s="222"/>
      <c r="N125" s="222"/>
      <c r="O125" s="222"/>
      <c r="P125" s="223"/>
    </row>
    <row r="126" spans="2:17" x14ac:dyDescent="0.25">
      <c r="B126" s="225"/>
      <c r="K126"/>
      <c r="L126"/>
      <c r="M126"/>
      <c r="N126"/>
      <c r="O126"/>
      <c r="P126"/>
      <c r="Q126"/>
    </row>
    <row r="127" spans="2:17" x14ac:dyDescent="0.25">
      <c r="B127" s="225"/>
      <c r="K127">
        <v>5</v>
      </c>
      <c r="L127"/>
      <c r="M127">
        <v>10</v>
      </c>
      <c r="N127"/>
      <c r="O127">
        <v>20</v>
      </c>
      <c r="P127">
        <v>40</v>
      </c>
      <c r="Q127"/>
    </row>
    <row r="128" spans="2:17" x14ac:dyDescent="0.25">
      <c r="B128" s="225"/>
      <c r="K128">
        <v>39</v>
      </c>
      <c r="L128"/>
      <c r="M128">
        <v>44</v>
      </c>
      <c r="N128"/>
      <c r="O128">
        <v>50</v>
      </c>
      <c r="P128">
        <v>55</v>
      </c>
      <c r="Q128"/>
    </row>
    <row r="129" spans="2:17" x14ac:dyDescent="0.25">
      <c r="B129" s="225"/>
      <c r="K129">
        <v>15</v>
      </c>
      <c r="L129"/>
      <c r="M129">
        <v>29</v>
      </c>
      <c r="N129">
        <v>40</v>
      </c>
      <c r="O129">
        <v>70</v>
      </c>
      <c r="P129"/>
      <c r="Q129"/>
    </row>
    <row r="130" spans="2:17" x14ac:dyDescent="0.25">
      <c r="B130" s="225"/>
      <c r="K130">
        <v>39</v>
      </c>
      <c r="L130"/>
      <c r="M130">
        <v>44</v>
      </c>
      <c r="N130">
        <v>46</v>
      </c>
      <c r="O130">
        <v>50</v>
      </c>
      <c r="P130"/>
      <c r="Q130"/>
    </row>
    <row r="131" spans="2:17" x14ac:dyDescent="0.25">
      <c r="B131" s="225"/>
      <c r="K131"/>
      <c r="L131"/>
      <c r="M131"/>
      <c r="N131"/>
      <c r="O131"/>
      <c r="P131"/>
      <c r="Q131"/>
    </row>
    <row r="132" spans="2:17" x14ac:dyDescent="0.25">
      <c r="B132" s="225"/>
      <c r="K132"/>
      <c r="L132"/>
      <c r="M132"/>
      <c r="N132"/>
      <c r="O132"/>
      <c r="P132"/>
      <c r="Q132"/>
    </row>
    <row r="133" spans="2:17" x14ac:dyDescent="0.25">
      <c r="B133" s="225"/>
      <c r="K133"/>
      <c r="L133">
        <f>H153*2</f>
        <v>10</v>
      </c>
      <c r="M133"/>
      <c r="N133">
        <f>7.1948*LN(L133)+19.523</f>
        <v>36.089639227073562</v>
      </c>
      <c r="O133"/>
      <c r="P133"/>
      <c r="Q133"/>
    </row>
    <row r="134" spans="2:17" x14ac:dyDescent="0.25">
      <c r="B134" s="225"/>
      <c r="K134"/>
      <c r="L134">
        <f>H154*2</f>
        <v>20</v>
      </c>
      <c r="M134"/>
      <c r="N134">
        <f>7.7906*LN(L134)+26.362</f>
        <v>49.700551850349726</v>
      </c>
      <c r="O134"/>
      <c r="P134"/>
      <c r="Q134"/>
    </row>
    <row r="135" spans="2:17" x14ac:dyDescent="0.25">
      <c r="B135" s="225"/>
      <c r="K135"/>
      <c r="L135"/>
      <c r="M135"/>
      <c r="N135">
        <v>20</v>
      </c>
      <c r="O135"/>
      <c r="P135"/>
      <c r="Q135"/>
    </row>
    <row r="136" spans="2:17" x14ac:dyDescent="0.25">
      <c r="B136" s="225"/>
      <c r="K136"/>
      <c r="L136"/>
      <c r="M136"/>
      <c r="N136"/>
      <c r="O136"/>
      <c r="P136"/>
      <c r="Q136"/>
    </row>
    <row r="137" spans="2:17" x14ac:dyDescent="0.25">
      <c r="B137" s="225"/>
      <c r="K137"/>
      <c r="M137"/>
      <c r="N137"/>
      <c r="O137"/>
      <c r="P137"/>
      <c r="Q137"/>
    </row>
    <row r="138" spans="2:17" x14ac:dyDescent="0.25">
      <c r="B138" s="225"/>
      <c r="K138"/>
      <c r="M138"/>
      <c r="N138"/>
      <c r="O138"/>
      <c r="P138"/>
      <c r="Q138"/>
    </row>
    <row r="139" spans="2:17" x14ac:dyDescent="0.25">
      <c r="B139" s="225"/>
      <c r="K139"/>
      <c r="M139"/>
      <c r="N139"/>
      <c r="O139"/>
      <c r="P139"/>
      <c r="Q139"/>
    </row>
    <row r="140" spans="2:17" x14ac:dyDescent="0.25">
      <c r="B140" s="225"/>
      <c r="K140"/>
      <c r="L140"/>
      <c r="M140"/>
      <c r="N140"/>
      <c r="O140"/>
      <c r="P140"/>
      <c r="Q140"/>
    </row>
    <row r="141" spans="2:17" x14ac:dyDescent="0.25">
      <c r="B141" s="225"/>
      <c r="K141"/>
      <c r="L141"/>
      <c r="M141"/>
      <c r="N141"/>
      <c r="O141"/>
      <c r="P141"/>
      <c r="Q141"/>
    </row>
    <row r="142" spans="2:17" x14ac:dyDescent="0.25">
      <c r="B142" s="225"/>
      <c r="K142"/>
      <c r="L142"/>
      <c r="M142"/>
      <c r="N142"/>
      <c r="O142"/>
      <c r="P142"/>
      <c r="Q142"/>
    </row>
    <row r="143" spans="2:17" x14ac:dyDescent="0.25">
      <c r="B143" s="225"/>
      <c r="K143"/>
      <c r="L143"/>
      <c r="M143"/>
      <c r="N143"/>
      <c r="O143"/>
      <c r="P143"/>
      <c r="Q143"/>
    </row>
    <row r="144" spans="2:17" x14ac:dyDescent="0.25">
      <c r="B144" s="225"/>
      <c r="K144"/>
      <c r="L144"/>
      <c r="M144"/>
      <c r="N144"/>
      <c r="O144"/>
      <c r="P144"/>
      <c r="Q144"/>
    </row>
    <row r="145" spans="2:17" x14ac:dyDescent="0.25">
      <c r="B145" s="225"/>
      <c r="K145"/>
      <c r="L145"/>
      <c r="M145"/>
      <c r="N145"/>
      <c r="O145"/>
      <c r="P145"/>
      <c r="Q145"/>
    </row>
    <row r="146" spans="2:17" x14ac:dyDescent="0.25">
      <c r="B146" s="225"/>
      <c r="G146"/>
      <c r="H146"/>
      <c r="I146"/>
      <c r="J146"/>
      <c r="K146"/>
      <c r="L146"/>
      <c r="M146"/>
      <c r="N146"/>
      <c r="O146"/>
      <c r="P146"/>
      <c r="Q146"/>
    </row>
    <row r="147" spans="2:17" x14ac:dyDescent="0.25">
      <c r="B147" s="225"/>
      <c r="G147"/>
      <c r="H147"/>
      <c r="I147" t="s">
        <v>219</v>
      </c>
      <c r="J147"/>
      <c r="K147"/>
      <c r="L147"/>
      <c r="M147"/>
      <c r="N147"/>
      <c r="O147"/>
      <c r="P147"/>
      <c r="Q147"/>
    </row>
    <row r="148" spans="2:17" x14ac:dyDescent="0.25">
      <c r="B148" s="225"/>
      <c r="G148"/>
      <c r="H148"/>
      <c r="I148" t="s">
        <v>220</v>
      </c>
      <c r="J148"/>
      <c r="K148"/>
      <c r="L148"/>
      <c r="M148"/>
      <c r="N148"/>
      <c r="O148"/>
      <c r="P148"/>
      <c r="Q148"/>
    </row>
    <row r="149" spans="2:17" x14ac:dyDescent="0.25">
      <c r="B149" s="225"/>
      <c r="G149"/>
      <c r="H149"/>
      <c r="I149" t="s">
        <v>221</v>
      </c>
      <c r="J149">
        <v>10</v>
      </c>
      <c r="K149"/>
      <c r="L149"/>
      <c r="M149"/>
      <c r="N149"/>
      <c r="O149"/>
      <c r="P149"/>
      <c r="Q149"/>
    </row>
    <row r="150" spans="2:17" x14ac:dyDescent="0.25">
      <c r="B150" s="225"/>
      <c r="G150"/>
      <c r="H150"/>
      <c r="I150" t="s">
        <v>220</v>
      </c>
      <c r="J150">
        <v>36</v>
      </c>
      <c r="K150"/>
      <c r="L150"/>
      <c r="M150"/>
      <c r="N150"/>
      <c r="O150"/>
      <c r="P150"/>
      <c r="Q150"/>
    </row>
    <row r="151" spans="2:17" x14ac:dyDescent="0.25">
      <c r="B151" s="225"/>
      <c r="G151"/>
      <c r="H151"/>
      <c r="I151"/>
      <c r="J151"/>
      <c r="K151"/>
      <c r="L151"/>
      <c r="M151"/>
      <c r="N151"/>
      <c r="O151"/>
      <c r="P151"/>
      <c r="Q151"/>
    </row>
    <row r="152" spans="2:17" x14ac:dyDescent="0.25">
      <c r="B152" s="225"/>
      <c r="G152"/>
      <c r="H152"/>
      <c r="I152"/>
      <c r="J152"/>
      <c r="K152"/>
      <c r="L152"/>
      <c r="M152"/>
      <c r="N152"/>
      <c r="O152"/>
      <c r="P152"/>
      <c r="Q152"/>
    </row>
    <row r="153" spans="2:17" x14ac:dyDescent="0.25">
      <c r="B153" s="225"/>
      <c r="G153" t="s">
        <v>222</v>
      </c>
      <c r="H153">
        <f>C28</f>
        <v>5</v>
      </c>
      <c r="I153"/>
      <c r="J153">
        <f>7.1948*LN(H153)+19.523</f>
        <v>31.102583892380864</v>
      </c>
      <c r="K153"/>
      <c r="L153"/>
      <c r="M153"/>
      <c r="N153"/>
      <c r="O153"/>
      <c r="P153"/>
      <c r="Q153"/>
    </row>
    <row r="154" spans="2:17" x14ac:dyDescent="0.25">
      <c r="B154" s="225"/>
      <c r="G154" t="s">
        <v>223</v>
      </c>
      <c r="H154">
        <f>C29</f>
        <v>10</v>
      </c>
      <c r="I154"/>
      <c r="J154">
        <f>7.7906*LN(H154)+26.362</f>
        <v>44.300519425479415</v>
      </c>
      <c r="K154"/>
      <c r="L154"/>
      <c r="M154"/>
      <c r="N154"/>
      <c r="O154"/>
      <c r="P154"/>
      <c r="Q154"/>
    </row>
    <row r="155" spans="2:17" x14ac:dyDescent="0.25">
      <c r="B155" s="225"/>
      <c r="G155" t="s">
        <v>143</v>
      </c>
      <c r="H155"/>
      <c r="I155"/>
      <c r="J155"/>
      <c r="K155"/>
      <c r="L155"/>
      <c r="M155"/>
      <c r="N155"/>
      <c r="O155"/>
      <c r="P155"/>
      <c r="Q155"/>
    </row>
    <row r="156" spans="2:17" x14ac:dyDescent="0.25">
      <c r="B156" s="225"/>
      <c r="G156"/>
      <c r="H156" t="s">
        <v>224</v>
      </c>
      <c r="I156" t="s">
        <v>225</v>
      </c>
      <c r="J156" t="s">
        <v>1</v>
      </c>
      <c r="K156"/>
      <c r="L156"/>
      <c r="M156"/>
      <c r="N156"/>
      <c r="O156"/>
      <c r="P156"/>
      <c r="Q156"/>
    </row>
    <row r="157" spans="2:17" x14ac:dyDescent="0.25">
      <c r="B157" s="225"/>
      <c r="G157" t="s">
        <v>226</v>
      </c>
      <c r="H157" s="363">
        <f>'Calculator (for experts)'!E17</f>
        <v>2.9</v>
      </c>
      <c r="I157">
        <f>H157*(J153/100)+H157</f>
        <v>3.8019749328790451</v>
      </c>
      <c r="J157" s="363">
        <f>I157-(I157*(N133/100))</f>
        <v>2.4298558960992258</v>
      </c>
      <c r="K157"/>
      <c r="L157"/>
      <c r="M157"/>
      <c r="N157"/>
      <c r="O157"/>
      <c r="P157"/>
      <c r="Q157"/>
    </row>
    <row r="158" spans="2:17" x14ac:dyDescent="0.25">
      <c r="B158" s="225"/>
      <c r="G158"/>
      <c r="H158">
        <f>H157</f>
        <v>2.9</v>
      </c>
      <c r="I158">
        <f>H158*(J154/100)+H158</f>
        <v>4.1847150633389028</v>
      </c>
      <c r="J158" s="363">
        <f>I158-(I158*(N134/100))</f>
        <v>2.1048885834947559</v>
      </c>
      <c r="K158"/>
      <c r="L158"/>
      <c r="M158"/>
      <c r="N158"/>
      <c r="O158"/>
      <c r="P158"/>
      <c r="Q158"/>
    </row>
    <row r="159" spans="2:17" x14ac:dyDescent="0.25">
      <c r="B159" s="225"/>
      <c r="G159"/>
      <c r="H159">
        <f>H157</f>
        <v>2.9</v>
      </c>
      <c r="I159">
        <f>H159*(J155/100)+H159</f>
        <v>2.9</v>
      </c>
      <c r="J159" s="363">
        <f>I159-(I159*(N135/100))</f>
        <v>2.3199999999999998</v>
      </c>
      <c r="K159"/>
      <c r="L159"/>
      <c r="M159"/>
      <c r="N159"/>
      <c r="O159"/>
      <c r="P159"/>
      <c r="Q159"/>
    </row>
    <row r="160" spans="2:17" x14ac:dyDescent="0.25">
      <c r="B160" s="225"/>
      <c r="G160"/>
      <c r="H160"/>
      <c r="I160"/>
      <c r="J160"/>
      <c r="K160"/>
      <c r="L160"/>
      <c r="M160"/>
      <c r="N160"/>
      <c r="O160"/>
      <c r="P160"/>
      <c r="Q160"/>
    </row>
    <row r="161" spans="2:17" x14ac:dyDescent="0.25">
      <c r="B161" s="225"/>
      <c r="G161"/>
      <c r="H161"/>
      <c r="I161"/>
      <c r="J161"/>
      <c r="K161"/>
      <c r="L161"/>
      <c r="M161"/>
      <c r="N161"/>
      <c r="O161"/>
      <c r="P161"/>
      <c r="Q161"/>
    </row>
    <row r="162" spans="2:17" x14ac:dyDescent="0.25">
      <c r="B162" s="225"/>
      <c r="G162"/>
      <c r="H162"/>
      <c r="I162"/>
      <c r="J162"/>
      <c r="K162"/>
      <c r="L162"/>
      <c r="M162"/>
      <c r="N162"/>
      <c r="O162"/>
      <c r="P162"/>
      <c r="Q162"/>
    </row>
    <row r="163" spans="2:17" x14ac:dyDescent="0.25">
      <c r="B163" s="225"/>
      <c r="G163"/>
      <c r="H163"/>
      <c r="I163"/>
      <c r="J163"/>
      <c r="K163"/>
      <c r="L163"/>
      <c r="M163"/>
      <c r="N163"/>
      <c r="O163"/>
      <c r="P163"/>
      <c r="Q163"/>
    </row>
    <row r="164" spans="2:17" x14ac:dyDescent="0.25">
      <c r="B164" s="225"/>
      <c r="G164"/>
      <c r="H164"/>
      <c r="I164"/>
      <c r="J164"/>
      <c r="P164" s="171"/>
    </row>
    <row r="165" spans="2:17" x14ac:dyDescent="0.25">
      <c r="B165" s="225"/>
      <c r="G165"/>
      <c r="H165"/>
      <c r="I165"/>
      <c r="J165"/>
      <c r="P165" s="171"/>
    </row>
    <row r="166" spans="2:17" x14ac:dyDescent="0.25">
      <c r="B166" s="225"/>
      <c r="G166"/>
      <c r="H166"/>
      <c r="I166"/>
      <c r="J166"/>
      <c r="P166" s="171"/>
    </row>
    <row r="167" spans="2:17" x14ac:dyDescent="0.25">
      <c r="B167" s="225"/>
      <c r="G167"/>
      <c r="H167"/>
      <c r="I167"/>
      <c r="J167"/>
      <c r="P167" s="171"/>
    </row>
    <row r="168" spans="2:17" x14ac:dyDescent="0.25">
      <c r="B168" s="225"/>
      <c r="G168"/>
      <c r="H168"/>
      <c r="I168"/>
      <c r="J168"/>
      <c r="P168" s="171"/>
    </row>
    <row r="169" spans="2:17" x14ac:dyDescent="0.25">
      <c r="B169" s="225"/>
      <c r="G169"/>
      <c r="H169"/>
      <c r="I169"/>
      <c r="J169"/>
      <c r="P169" s="171"/>
    </row>
    <row r="170" spans="2:17" x14ac:dyDescent="0.25">
      <c r="B170" s="225"/>
      <c r="G170"/>
      <c r="H170"/>
      <c r="I170"/>
      <c r="J170"/>
      <c r="P170" s="171"/>
    </row>
    <row r="171" spans="2:17" x14ac:dyDescent="0.25">
      <c r="B171" s="225"/>
      <c r="G171"/>
      <c r="H171"/>
      <c r="I171"/>
      <c r="J171"/>
      <c r="P171" s="171"/>
    </row>
    <row r="172" spans="2:17" x14ac:dyDescent="0.25">
      <c r="B172" s="225"/>
      <c r="G172"/>
      <c r="H172"/>
      <c r="I172"/>
      <c r="J172"/>
      <c r="P172" s="171"/>
    </row>
    <row r="173" spans="2:17" x14ac:dyDescent="0.25">
      <c r="B173" s="225"/>
      <c r="G173"/>
      <c r="H173"/>
      <c r="I173"/>
      <c r="J173"/>
      <c r="P173" s="171"/>
    </row>
    <row r="174" spans="2:17" x14ac:dyDescent="0.25">
      <c r="B174" s="225"/>
      <c r="G174"/>
      <c r="H174"/>
      <c r="I174"/>
      <c r="J174"/>
      <c r="P174" s="171"/>
    </row>
    <row r="175" spans="2:17" x14ac:dyDescent="0.25">
      <c r="B175" s="225"/>
      <c r="G175"/>
      <c r="H175"/>
      <c r="I175"/>
      <c r="J175"/>
      <c r="P175" s="171"/>
    </row>
    <row r="176" spans="2:17" x14ac:dyDescent="0.25">
      <c r="B176" s="225"/>
      <c r="G176"/>
      <c r="H176"/>
      <c r="I176"/>
      <c r="J176"/>
      <c r="P176" s="171"/>
    </row>
    <row r="177" spans="2:16" x14ac:dyDescent="0.25">
      <c r="B177" s="225"/>
      <c r="G177"/>
      <c r="H177"/>
      <c r="I177"/>
      <c r="J177"/>
      <c r="P177" s="171"/>
    </row>
    <row r="178" spans="2:16" x14ac:dyDescent="0.25">
      <c r="B178" s="225"/>
      <c r="G178"/>
      <c r="H178"/>
      <c r="I178"/>
      <c r="J178"/>
      <c r="P178" s="171"/>
    </row>
    <row r="179" spans="2:16" x14ac:dyDescent="0.25">
      <c r="B179" s="225"/>
      <c r="G179"/>
      <c r="H179"/>
      <c r="I179"/>
      <c r="J179"/>
      <c r="P179" s="171"/>
    </row>
    <row r="180" spans="2:16" x14ac:dyDescent="0.25">
      <c r="B180" s="225"/>
      <c r="G180"/>
      <c r="H180"/>
      <c r="I180"/>
      <c r="J180"/>
      <c r="P180" s="171"/>
    </row>
    <row r="181" spans="2:16" x14ac:dyDescent="0.25">
      <c r="B181" s="225"/>
      <c r="G181"/>
      <c r="H181"/>
      <c r="I181"/>
      <c r="J181"/>
      <c r="P181" s="171"/>
    </row>
    <row r="182" spans="2:16" x14ac:dyDescent="0.25">
      <c r="B182" s="225"/>
      <c r="G182"/>
      <c r="H182"/>
      <c r="I182"/>
      <c r="J182"/>
      <c r="P182" s="171"/>
    </row>
    <row r="183" spans="2:16" x14ac:dyDescent="0.25">
      <c r="B183" s="225"/>
      <c r="G183"/>
      <c r="H183"/>
      <c r="I183"/>
      <c r="J183"/>
      <c r="P183" s="171"/>
    </row>
    <row r="184" spans="2:16" x14ac:dyDescent="0.25">
      <c r="B184" s="225"/>
      <c r="P184" s="171"/>
    </row>
    <row r="185" spans="2:16" x14ac:dyDescent="0.25">
      <c r="B185" s="225"/>
      <c r="P185" s="171"/>
    </row>
    <row r="186" spans="2:16" x14ac:dyDescent="0.25">
      <c r="B186" s="225"/>
      <c r="P186" s="171"/>
    </row>
    <row r="187" spans="2:16" x14ac:dyDescent="0.25">
      <c r="B187" s="225"/>
      <c r="P187" s="171"/>
    </row>
    <row r="188" spans="2:16" x14ac:dyDescent="0.25">
      <c r="B188" s="225"/>
      <c r="P188" s="171"/>
    </row>
    <row r="189" spans="2:16" x14ac:dyDescent="0.25">
      <c r="B189" s="225"/>
      <c r="P189" s="171"/>
    </row>
    <row r="190" spans="2:16" x14ac:dyDescent="0.25">
      <c r="B190" s="225"/>
      <c r="P190" s="171"/>
    </row>
    <row r="191" spans="2:16" x14ac:dyDescent="0.25">
      <c r="B191" s="225"/>
      <c r="P191" s="171"/>
    </row>
    <row r="192" spans="2:16" x14ac:dyDescent="0.25">
      <c r="B192" s="225"/>
      <c r="P192" s="171"/>
    </row>
    <row r="193" spans="2:16" x14ac:dyDescent="0.25">
      <c r="B193" s="225"/>
      <c r="P193" s="171"/>
    </row>
    <row r="194" spans="2:16" x14ac:dyDescent="0.25">
      <c r="B194" s="225"/>
      <c r="P194" s="171"/>
    </row>
    <row r="195" spans="2:16" x14ac:dyDescent="0.25">
      <c r="B195" s="225"/>
      <c r="P195" s="171"/>
    </row>
    <row r="196" spans="2:16" x14ac:dyDescent="0.25">
      <c r="B196" s="225"/>
      <c r="P196" s="171"/>
    </row>
    <row r="197" spans="2:16" x14ac:dyDescent="0.25">
      <c r="B197" s="225"/>
      <c r="P197" s="171"/>
    </row>
    <row r="198" spans="2:16" x14ac:dyDescent="0.25">
      <c r="B198" s="225"/>
      <c r="P198" s="171"/>
    </row>
    <row r="199" spans="2:16" x14ac:dyDescent="0.25">
      <c r="B199" s="225"/>
      <c r="P199" s="171"/>
    </row>
    <row r="200" spans="2:16" x14ac:dyDescent="0.25">
      <c r="B200" s="225"/>
      <c r="P200" s="171"/>
    </row>
    <row r="201" spans="2:16" x14ac:dyDescent="0.25">
      <c r="B201" s="225"/>
      <c r="P201" s="171"/>
    </row>
    <row r="202" spans="2:16" x14ac:dyDescent="0.25">
      <c r="B202" s="225"/>
      <c r="P202" s="171"/>
    </row>
    <row r="203" spans="2:16" x14ac:dyDescent="0.25">
      <c r="B203" s="225"/>
      <c r="P203" s="171"/>
    </row>
    <row r="204" spans="2:16" x14ac:dyDescent="0.25">
      <c r="B204" s="225"/>
      <c r="P204" s="171"/>
    </row>
    <row r="205" spans="2:16" x14ac:dyDescent="0.25">
      <c r="B205" s="225"/>
      <c r="P205" s="171"/>
    </row>
    <row r="206" spans="2:16" x14ac:dyDescent="0.25">
      <c r="B206" s="225"/>
      <c r="P206" s="171"/>
    </row>
    <row r="207" spans="2:16" x14ac:dyDescent="0.25">
      <c r="B207" s="225"/>
      <c r="P207" s="171"/>
    </row>
    <row r="208" spans="2:16" x14ac:dyDescent="0.25">
      <c r="B208" s="225"/>
      <c r="P208" s="171"/>
    </row>
    <row r="209" spans="2:16" x14ac:dyDescent="0.25">
      <c r="B209" s="225"/>
      <c r="P209" s="171"/>
    </row>
    <row r="210" spans="2:16" x14ac:dyDescent="0.25">
      <c r="B210" s="225"/>
      <c r="P210" s="171"/>
    </row>
    <row r="211" spans="2:16" x14ac:dyDescent="0.25">
      <c r="B211" s="225"/>
      <c r="P211" s="171"/>
    </row>
    <row r="212" spans="2:16" x14ac:dyDescent="0.25">
      <c r="B212" s="225"/>
      <c r="P212" s="171"/>
    </row>
    <row r="213" spans="2:16" x14ac:dyDescent="0.25">
      <c r="B213" s="225"/>
      <c r="P213" s="171"/>
    </row>
    <row r="214" spans="2:16" x14ac:dyDescent="0.25">
      <c r="B214" s="225"/>
      <c r="P214" s="171"/>
    </row>
    <row r="215" spans="2:16" x14ac:dyDescent="0.25">
      <c r="B215" s="225"/>
      <c r="P215" s="171"/>
    </row>
    <row r="216" spans="2:16" x14ac:dyDescent="0.25">
      <c r="B216" s="225"/>
      <c r="P216" s="171"/>
    </row>
    <row r="217" spans="2:16" x14ac:dyDescent="0.25">
      <c r="B217" s="225"/>
      <c r="P217" s="171"/>
    </row>
    <row r="218" spans="2:16" x14ac:dyDescent="0.25">
      <c r="B218" s="225"/>
      <c r="P218" s="171"/>
    </row>
    <row r="219" spans="2:16" x14ac:dyDescent="0.25">
      <c r="B219" s="225"/>
      <c r="P219" s="171"/>
    </row>
    <row r="220" spans="2:16" x14ac:dyDescent="0.25">
      <c r="B220" s="225"/>
      <c r="P220" s="171"/>
    </row>
    <row r="221" spans="2:16" x14ac:dyDescent="0.25">
      <c r="B221" s="225"/>
      <c r="P221" s="171"/>
    </row>
    <row r="222" spans="2:16" x14ac:dyDescent="0.25">
      <c r="B222" s="225"/>
      <c r="P222" s="171"/>
    </row>
    <row r="223" spans="2:16" x14ac:dyDescent="0.25">
      <c r="B223" s="225"/>
      <c r="P223" s="171"/>
    </row>
    <row r="224" spans="2:16" x14ac:dyDescent="0.25">
      <c r="B224" s="225"/>
      <c r="P224" s="171"/>
    </row>
    <row r="225" spans="2:16" x14ac:dyDescent="0.25">
      <c r="B225" s="225"/>
      <c r="P225" s="171"/>
    </row>
    <row r="226" spans="2:16" x14ac:dyDescent="0.25">
      <c r="B226" s="225"/>
      <c r="P226" s="171"/>
    </row>
    <row r="227" spans="2:16" x14ac:dyDescent="0.25">
      <c r="B227" s="225"/>
      <c r="P227" s="171"/>
    </row>
    <row r="228" spans="2:16" x14ac:dyDescent="0.25">
      <c r="B228" s="225"/>
      <c r="P228" s="171"/>
    </row>
    <row r="229" spans="2:16" x14ac:dyDescent="0.25">
      <c r="B229" s="225"/>
      <c r="P229" s="171"/>
    </row>
    <row r="230" spans="2:16" x14ac:dyDescent="0.25">
      <c r="B230" s="225"/>
      <c r="P230" s="171"/>
    </row>
    <row r="231" spans="2:16" x14ac:dyDescent="0.25">
      <c r="B231" s="225"/>
      <c r="P231" s="171"/>
    </row>
    <row r="232" spans="2:16" x14ac:dyDescent="0.25">
      <c r="B232" s="225"/>
      <c r="P232" s="171"/>
    </row>
    <row r="233" spans="2:16" x14ac:dyDescent="0.25">
      <c r="B233" s="225"/>
      <c r="P233" s="171"/>
    </row>
    <row r="234" spans="2:16" x14ac:dyDescent="0.25">
      <c r="B234" s="225"/>
      <c r="P234" s="171"/>
    </row>
    <row r="235" spans="2:16" x14ac:dyDescent="0.25">
      <c r="B235" s="225"/>
      <c r="P235" s="171"/>
    </row>
    <row r="236" spans="2:16" x14ac:dyDescent="0.25">
      <c r="B236" s="225"/>
      <c r="P236" s="171"/>
    </row>
    <row r="237" spans="2:16" x14ac:dyDescent="0.25">
      <c r="B237" s="225"/>
      <c r="P237" s="171"/>
    </row>
    <row r="238" spans="2:16" x14ac:dyDescent="0.25">
      <c r="B238" s="225"/>
      <c r="P238" s="171"/>
    </row>
    <row r="239" spans="2:16" x14ac:dyDescent="0.25">
      <c r="B239" s="225"/>
      <c r="P239" s="171"/>
    </row>
    <row r="240" spans="2:16" x14ac:dyDescent="0.25">
      <c r="B240" s="225"/>
      <c r="P240" s="171"/>
    </row>
    <row r="241" spans="2:16" x14ac:dyDescent="0.25">
      <c r="B241" s="225"/>
      <c r="P241" s="171"/>
    </row>
    <row r="242" spans="2:16" x14ac:dyDescent="0.25">
      <c r="B242" s="225"/>
      <c r="P242" s="171"/>
    </row>
    <row r="243" spans="2:16" x14ac:dyDescent="0.25">
      <c r="B243" s="225"/>
      <c r="P243" s="171"/>
    </row>
    <row r="244" spans="2:16" x14ac:dyDescent="0.25">
      <c r="B244" s="225"/>
      <c r="P244" s="171"/>
    </row>
    <row r="245" spans="2:16" x14ac:dyDescent="0.25">
      <c r="B245" s="225"/>
      <c r="P245" s="171"/>
    </row>
    <row r="246" spans="2:16" x14ac:dyDescent="0.25">
      <c r="B246" s="225"/>
      <c r="P246" s="171"/>
    </row>
    <row r="247" spans="2:16" x14ac:dyDescent="0.25">
      <c r="B247" s="225"/>
      <c r="P247" s="171"/>
    </row>
    <row r="248" spans="2:16" x14ac:dyDescent="0.25">
      <c r="B248" s="225"/>
      <c r="P248" s="171"/>
    </row>
    <row r="249" spans="2:16" x14ac:dyDescent="0.25">
      <c r="B249" s="225"/>
      <c r="P249" s="171"/>
    </row>
    <row r="250" spans="2:16" x14ac:dyDescent="0.25">
      <c r="B250" s="225"/>
      <c r="P250" s="171"/>
    </row>
    <row r="251" spans="2:16" x14ac:dyDescent="0.25">
      <c r="B251" s="225"/>
      <c r="P251" s="171"/>
    </row>
    <row r="252" spans="2:16" x14ac:dyDescent="0.25">
      <c r="B252" s="225"/>
      <c r="P252" s="171"/>
    </row>
    <row r="253" spans="2:16" x14ac:dyDescent="0.25">
      <c r="B253" s="225"/>
      <c r="P253" s="171"/>
    </row>
    <row r="254" spans="2:16" x14ac:dyDescent="0.25">
      <c r="B254" s="225"/>
      <c r="P254" s="171"/>
    </row>
    <row r="255" spans="2:16" x14ac:dyDescent="0.25">
      <c r="B255" s="225"/>
      <c r="P255" s="171"/>
    </row>
    <row r="256" spans="2:16" x14ac:dyDescent="0.25">
      <c r="B256" s="225"/>
      <c r="P256" s="171"/>
    </row>
    <row r="257" spans="2:16" x14ac:dyDescent="0.25">
      <c r="B257" s="225"/>
      <c r="P257" s="171"/>
    </row>
    <row r="258" spans="2:16" x14ac:dyDescent="0.25">
      <c r="B258" s="225"/>
      <c r="P258" s="171"/>
    </row>
    <row r="259" spans="2:16" x14ac:dyDescent="0.25">
      <c r="B259" s="225"/>
      <c r="P259" s="171"/>
    </row>
    <row r="260" spans="2:16" x14ac:dyDescent="0.25">
      <c r="B260" s="225"/>
      <c r="P260" s="171"/>
    </row>
    <row r="261" spans="2:16" x14ac:dyDescent="0.25">
      <c r="B261" s="225"/>
      <c r="P261" s="171"/>
    </row>
    <row r="262" spans="2:16" x14ac:dyDescent="0.25">
      <c r="B262" s="225"/>
      <c r="P262" s="171"/>
    </row>
    <row r="263" spans="2:16" x14ac:dyDescent="0.25">
      <c r="B263" s="225"/>
      <c r="P263" s="171"/>
    </row>
    <row r="264" spans="2:16" x14ac:dyDescent="0.25">
      <c r="B264" s="225"/>
      <c r="P264" s="171"/>
    </row>
    <row r="265" spans="2:16" x14ac:dyDescent="0.25">
      <c r="B265" s="225"/>
      <c r="P265" s="171"/>
    </row>
    <row r="266" spans="2:16" x14ac:dyDescent="0.25">
      <c r="B266" s="225"/>
      <c r="P266" s="171"/>
    </row>
    <row r="267" spans="2:16" x14ac:dyDescent="0.25">
      <c r="B267" s="225"/>
      <c r="P267" s="171"/>
    </row>
    <row r="268" spans="2:16" x14ac:dyDescent="0.25">
      <c r="B268" s="225"/>
      <c r="P268" s="171"/>
    </row>
    <row r="269" spans="2:16" x14ac:dyDescent="0.25">
      <c r="P269" s="171"/>
    </row>
    <row r="270" spans="2:16" x14ac:dyDescent="0.25">
      <c r="P270" s="171"/>
    </row>
    <row r="271" spans="2:16" x14ac:dyDescent="0.25">
      <c r="P271" s="171"/>
    </row>
    <row r="272" spans="2:16" x14ac:dyDescent="0.25">
      <c r="P272" s="171"/>
    </row>
    <row r="273" spans="16:16" x14ac:dyDescent="0.25">
      <c r="P273" s="171"/>
    </row>
    <row r="274" spans="16:16" x14ac:dyDescent="0.25">
      <c r="P274" s="171"/>
    </row>
    <row r="275" spans="16:16" x14ac:dyDescent="0.25">
      <c r="P275" s="171"/>
    </row>
    <row r="276" spans="16:16" x14ac:dyDescent="0.25">
      <c r="P276" s="171"/>
    </row>
    <row r="277" spans="16:16" x14ac:dyDescent="0.25">
      <c r="P277" s="171"/>
    </row>
    <row r="278" spans="16:16" x14ac:dyDescent="0.25">
      <c r="P278" s="171"/>
    </row>
    <row r="279" spans="16:16" x14ac:dyDescent="0.25">
      <c r="P279" s="171"/>
    </row>
    <row r="280" spans="16:16" x14ac:dyDescent="0.25">
      <c r="P280" s="171"/>
    </row>
    <row r="281" spans="16:16" x14ac:dyDescent="0.25">
      <c r="P281" s="171"/>
    </row>
    <row r="282" spans="16:16" x14ac:dyDescent="0.25">
      <c r="P282" s="171"/>
    </row>
    <row r="283" spans="16:16" x14ac:dyDescent="0.25">
      <c r="P283" s="171"/>
    </row>
    <row r="284" spans="16:16" x14ac:dyDescent="0.25">
      <c r="P284" s="171"/>
    </row>
    <row r="285" spans="16:16" x14ac:dyDescent="0.25">
      <c r="P285" s="171"/>
    </row>
    <row r="286" spans="16:16" x14ac:dyDescent="0.25">
      <c r="P286" s="171"/>
    </row>
    <row r="287" spans="16:16" x14ac:dyDescent="0.25">
      <c r="P287" s="171"/>
    </row>
    <row r="288" spans="16:16" x14ac:dyDescent="0.25">
      <c r="P288" s="171"/>
    </row>
    <row r="289" spans="16:16" x14ac:dyDescent="0.25">
      <c r="P289" s="171"/>
    </row>
    <row r="290" spans="16:16" x14ac:dyDescent="0.25">
      <c r="P290" s="171"/>
    </row>
    <row r="291" spans="16:16" x14ac:dyDescent="0.25">
      <c r="P291" s="171"/>
    </row>
    <row r="292" spans="16:16" x14ac:dyDescent="0.25">
      <c r="P292" s="171"/>
    </row>
    <row r="293" spans="16:16" x14ac:dyDescent="0.25">
      <c r="P293" s="171"/>
    </row>
    <row r="294" spans="16:16" x14ac:dyDescent="0.25">
      <c r="P294" s="171"/>
    </row>
    <row r="295" spans="16:16" x14ac:dyDescent="0.25">
      <c r="P295" s="171"/>
    </row>
    <row r="296" spans="16:16" x14ac:dyDescent="0.25">
      <c r="P296" s="171"/>
    </row>
    <row r="297" spans="16:16" x14ac:dyDescent="0.25">
      <c r="P297" s="171"/>
    </row>
    <row r="298" spans="16:16" x14ac:dyDescent="0.25">
      <c r="P298" s="171"/>
    </row>
    <row r="299" spans="16:16" x14ac:dyDescent="0.25">
      <c r="P299" s="171"/>
    </row>
    <row r="300" spans="16:16" x14ac:dyDescent="0.25">
      <c r="P300" s="171"/>
    </row>
    <row r="301" spans="16:16" x14ac:dyDescent="0.25">
      <c r="P301" s="171"/>
    </row>
    <row r="302" spans="16:16" x14ac:dyDescent="0.25">
      <c r="P302" s="171"/>
    </row>
    <row r="303" spans="16:16" x14ac:dyDescent="0.25">
      <c r="P303" s="171"/>
    </row>
    <row r="304" spans="16:16" x14ac:dyDescent="0.25">
      <c r="P304" s="171"/>
    </row>
    <row r="305" spans="16:16" x14ac:dyDescent="0.25">
      <c r="P305" s="171"/>
    </row>
    <row r="306" spans="16:16" x14ac:dyDescent="0.25">
      <c r="P306" s="171"/>
    </row>
    <row r="307" spans="16:16" x14ac:dyDescent="0.25">
      <c r="P307" s="171"/>
    </row>
    <row r="308" spans="16:16" x14ac:dyDescent="0.25">
      <c r="P308" s="171"/>
    </row>
    <row r="309" spans="16:16" x14ac:dyDescent="0.25">
      <c r="P309" s="171"/>
    </row>
    <row r="310" spans="16:16" x14ac:dyDescent="0.25">
      <c r="P310" s="171"/>
    </row>
    <row r="311" spans="16:16" x14ac:dyDescent="0.25">
      <c r="P311" s="171"/>
    </row>
    <row r="312" spans="16:16" x14ac:dyDescent="0.25">
      <c r="P312" s="171"/>
    </row>
    <row r="313" spans="16:16" x14ac:dyDescent="0.25">
      <c r="P313" s="171"/>
    </row>
    <row r="314" spans="16:16" x14ac:dyDescent="0.25">
      <c r="P314" s="171"/>
    </row>
    <row r="315" spans="16:16" x14ac:dyDescent="0.25">
      <c r="P315" s="171"/>
    </row>
  </sheetData>
  <conditionalFormatting sqref="D18:D21">
    <cfRule type="cellIs" dxfId="5" priority="1" operator="lessThan">
      <formula>0</formula>
    </cfRule>
    <cfRule type="cellIs" dxfId="4" priority="2" operator="lessThan">
      <formula>0</formula>
    </cfRule>
    <cfRule type="cellIs" dxfId="3" priority="3" operator="lessThan">
      <formula>0</formula>
    </cfRule>
    <cfRule type="cellIs" dxfId="2" priority="6" operator="lessThan">
      <formula>0</formula>
    </cfRule>
  </conditionalFormatting>
  <conditionalFormatting sqref="I23:I26">
    <cfRule type="cellIs" dxfId="1" priority="4" operator="lessThan">
      <formula>0</formula>
    </cfRule>
    <cfRule type="cellIs" dxfId="0" priority="5" operator="lessThan">
      <formula>0</formula>
    </cfRule>
  </conditionalFormatting>
  <hyperlinks>
    <hyperlink ref="I36" r:id="rId1" xr:uid="{CE88566B-C5E7-4AD2-8870-F6F9959ADC88}"/>
    <hyperlink ref="I37" r:id="rId2" xr:uid="{B2948AAC-B335-44E2-ACEB-981D2A0FAB98}"/>
    <hyperlink ref="D29" r:id="rId3" xr:uid="{A616203A-D095-499F-86AF-312405FF46F8}"/>
    <hyperlink ref="D28" r:id="rId4" xr:uid="{C74493F7-D5AD-4403-B343-6FC6617BB38A}"/>
  </hyperlinks>
  <pageMargins left="0.7" right="0.7" top="0.78740157499999996" bottom="0.78740157499999996" header="0.3" footer="0.3"/>
  <drawing r:id="rId5"/>
  <legacy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vt:i4>
      </vt:variant>
    </vt:vector>
  </HeadingPairs>
  <TitlesOfParts>
    <vt:vector size="13" baseType="lpstr">
      <vt:lpstr>1. Determine Age</vt:lpstr>
      <vt:lpstr>2. Present Risk Factors</vt:lpstr>
      <vt:lpstr>3. Read Results</vt:lpstr>
      <vt:lpstr>4. Inform Patient</vt:lpstr>
      <vt:lpstr>5. Check Bleeding Risk</vt:lpstr>
      <vt:lpstr>Calculator (for experts)</vt:lpstr>
      <vt:lpstr>Rechner</vt:lpstr>
      <vt:lpstr>Rechner Ideal</vt:lpstr>
      <vt:lpstr>FRAM1030</vt:lpstr>
      <vt:lpstr>HTA</vt:lpstr>
      <vt:lpstr>pepqaly</vt:lpstr>
      <vt:lpstr>'4. Inform Patient'!Druckbereich</vt:lpstr>
      <vt:lpstr>'Calculator (for experts)'!Druckbereich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Romanens Michel</dc:creator>
  <cp:lastModifiedBy>Romanens Michel</cp:lastModifiedBy>
  <cp:lastPrinted>2019-12-31T12:44:02Z</cp:lastPrinted>
  <dcterms:created xsi:type="dcterms:W3CDTF">2019-01-30T10:02:32Z</dcterms:created>
  <dcterms:modified xsi:type="dcterms:W3CDTF">2020-08-30T13:43:41Z</dcterms:modified>
</cp:coreProperties>
</file>