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IFO\Nextcloud\ACTIVE\"/>
    </mc:Choice>
  </mc:AlternateContent>
  <xr:revisionPtr revIDLastSave="0" documentId="13_ncr:1_{64D188BC-7B19-48FB-94EB-97ADFF2ACC3C}" xr6:coauthVersionLast="43" xr6:coauthVersionMax="43" xr10:uidLastSave="{00000000-0000-0000-0000-000000000000}"/>
  <bookViews>
    <workbookView xWindow="-110" yWindow="-110" windowWidth="19420" windowHeight="10420" xr2:uid="{D881D3C3-8325-44C6-8C5B-E6D35162ACD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I65" i="1"/>
  <c r="I68" i="1" s="1"/>
  <c r="I60" i="1"/>
  <c r="H65" i="1"/>
  <c r="H68" i="1" s="1"/>
  <c r="H60" i="1"/>
  <c r="G65" i="1"/>
  <c r="F65" i="1"/>
  <c r="G60" i="1"/>
  <c r="F60" i="1"/>
  <c r="F66" i="1" l="1"/>
  <c r="F69" i="1" s="1"/>
  <c r="F68" i="1"/>
  <c r="F70" i="1" s="1"/>
  <c r="I66" i="1"/>
  <c r="I69" i="1" s="1"/>
  <c r="I57" i="1" s="1"/>
  <c r="H66" i="1"/>
  <c r="H69" i="1" s="1"/>
  <c r="H70" i="1" s="1"/>
  <c r="G66" i="1"/>
  <c r="G69" i="1" s="1"/>
  <c r="G68" i="1"/>
  <c r="I67" i="1" l="1"/>
  <c r="F57" i="1"/>
  <c r="F72" i="1"/>
  <c r="F73" i="1" s="1"/>
  <c r="F58" i="1"/>
  <c r="F59" i="1" s="1"/>
  <c r="F61" i="1" s="1"/>
  <c r="F67" i="1"/>
  <c r="F71" i="1"/>
  <c r="I70" i="1"/>
  <c r="I71" i="1"/>
  <c r="I58" i="1"/>
  <c r="I59" i="1" s="1"/>
  <c r="I61" i="1" s="1"/>
  <c r="I62" i="1" s="1"/>
  <c r="I72" i="1"/>
  <c r="I73" i="1" s="1"/>
  <c r="H58" i="1"/>
  <c r="H59" i="1" s="1"/>
  <c r="H61" i="1" s="1"/>
  <c r="H57" i="1"/>
  <c r="H72" i="1"/>
  <c r="H73" i="1" s="1"/>
  <c r="H71" i="1"/>
  <c r="H67" i="1"/>
  <c r="G57" i="1"/>
  <c r="G72" i="1"/>
  <c r="G73" i="1" s="1"/>
  <c r="G70" i="1"/>
  <c r="G58" i="1"/>
  <c r="G59" i="1" s="1"/>
  <c r="G61" i="1" s="1"/>
  <c r="G71" i="1"/>
  <c r="G67" i="1"/>
  <c r="F62" i="1" l="1"/>
  <c r="H62" i="1"/>
  <c r="G62" i="1"/>
  <c r="D31" i="1" l="1"/>
  <c r="D30" i="1"/>
  <c r="F24" i="1"/>
  <c r="F23" i="1"/>
</calcChain>
</file>

<file path=xl/sharedStrings.xml><?xml version="1.0" encoding="utf-8"?>
<sst xmlns="http://schemas.openxmlformats.org/spreadsheetml/2006/main" count="95" uniqueCount="87">
  <si>
    <t>Gruppe 1</t>
  </si>
  <si>
    <t>überlebt ohne Ereignis, kostet also nur, nichts gespart.</t>
  </si>
  <si>
    <t>Gruppe 2</t>
  </si>
  <si>
    <t>erleidet im Behandlungszeitraum einen Herzinfarkt, verliert 0.2 QALY</t>
  </si>
  <si>
    <t>Gruppe 3</t>
  </si>
  <si>
    <t xml:space="preserve">stirbt im Behandlungszeitraum an Herzinfarkt, verliert 1 QALY. </t>
  </si>
  <si>
    <t>Behandlungsdauer</t>
  </si>
  <si>
    <t>Zeitpunkt des Ereignisses</t>
  </si>
  <si>
    <t xml:space="preserve"> </t>
  </si>
  <si>
    <t>T/2</t>
  </si>
  <si>
    <t>T</t>
  </si>
  <si>
    <t>dies ist eine in der Gesundheitsökonomie übliche Annahme.</t>
  </si>
  <si>
    <t xml:space="preserve">Das SMB rechet mit 2 Todesfällen und 9 Herzinfarkten über 5 Jahre. </t>
  </si>
  <si>
    <t>fatal</t>
  </si>
  <si>
    <t>non fatal</t>
  </si>
  <si>
    <t>5 years</t>
  </si>
  <si>
    <t>10 years</t>
  </si>
  <si>
    <t>QALY</t>
  </si>
  <si>
    <t xml:space="preserve">Die Formel lautet </t>
  </si>
  <si>
    <t>f</t>
  </si>
  <si>
    <t>nonfatal</t>
  </si>
  <si>
    <t>nf</t>
  </si>
  <si>
    <t>Q</t>
  </si>
  <si>
    <t>[N(f) x T/2 x Q] + [N(nf) x T/2 x Q]</t>
  </si>
  <si>
    <t>All</t>
  </si>
  <si>
    <t>Die Events verdoppeln sich</t>
  </si>
  <si>
    <t>Jahre</t>
  </si>
  <si>
    <t xml:space="preserve">Die QALY vervierfachen sich bei verdoppelter Behandlungsdauer. </t>
  </si>
  <si>
    <t xml:space="preserve">Dies entspricht 4 Todesfälle und 18 Herzinfarkten über 10 Jahre. </t>
  </si>
  <si>
    <t>Statin and monitoring cost (per year)</t>
  </si>
  <si>
    <t>Duration of observation (years)</t>
  </si>
  <si>
    <t>Effect [(improvement of life) * (quality)]</t>
  </si>
  <si>
    <t>Total cost (per 1000 individuals)</t>
  </si>
  <si>
    <t>Total cost (per individual)</t>
  </si>
  <si>
    <t>Statin and monitoring cost (obersvation years)</t>
  </si>
  <si>
    <t>Avoided healthcare costs</t>
  </si>
  <si>
    <t>cost : efficiency ratio (Cost per QALY)</t>
  </si>
  <si>
    <t>Number of individuals</t>
  </si>
  <si>
    <t>Total amount of events (deadly &amp; non-deadly)</t>
  </si>
  <si>
    <t>Absolute risk</t>
  </si>
  <si>
    <t>Avoidable risk</t>
  </si>
  <si>
    <t>Number needed to treat (NNT)</t>
  </si>
  <si>
    <t>Fatal heart attack</t>
  </si>
  <si>
    <t>Non-fatal heart attack (factor)</t>
  </si>
  <si>
    <t>Cost of fatal heart attack</t>
  </si>
  <si>
    <t>Cost of non-fatal heart attack (1st year)</t>
  </si>
  <si>
    <t>Cost of non-fatal heart attack (after first 1st year)</t>
  </si>
  <si>
    <t>Fatal AMI Risk in % in years</t>
  </si>
  <si>
    <t>Expected fatal heart attacks</t>
  </si>
  <si>
    <t>Expected non-fatal heart attacks</t>
  </si>
  <si>
    <t>Der Berechnungsfehler des Swiss Medical Boards</t>
  </si>
  <si>
    <t xml:space="preserve">"Mit der Verdopplung der Behandlungsdauer verdoppeln sich die QALY". </t>
  </si>
  <si>
    <t>RICHTIG</t>
  </si>
  <si>
    <t xml:space="preserve">"Mit der Verdopplung der Behandlungsdauer vervierfachen sich die QALY". </t>
  </si>
  <si>
    <t xml:space="preserve">Das SMB hat sich bei der Kosteneffizienz der Statine über 10 Jahre um 100'000 Franken verrechnet. </t>
  </si>
  <si>
    <t>Berechnungstabelle</t>
  </si>
  <si>
    <t>Das SMB rechnet mit folgender Wirkung: LDL Senkung 1.0 mmol/l, 22% relative Risikoreduktion pro 1.0 mmol/l LDL Senkung</t>
  </si>
  <si>
    <t>5 Jahre Behandlung</t>
  </si>
  <si>
    <t>Literatur: CTT Studie 2012</t>
  </si>
  <si>
    <t xml:space="preserve">Bei 9+2=11 vermiedenen Ereignissen lag also Ereignishäufigkeit vor: </t>
  </si>
  <si>
    <t xml:space="preserve">Dies bei 1000 behandelten Personen, ergibt also ein Risiko von </t>
  </si>
  <si>
    <t>Bei 2 vermiedenen Ereignissen lag also eine Ereignishäufigkeit vor von:</t>
  </si>
  <si>
    <t>Avoided fatal heart attacks</t>
  </si>
  <si>
    <t>Avoided non-fatal heart attacks</t>
  </si>
  <si>
    <t>Total amount of avoided events (deadly &amp; non-deadly)</t>
  </si>
  <si>
    <t>Dies ist das SCORE Risiko in 5 Jahren</t>
  </si>
  <si>
    <t>Für ein SCORE Risiko von 0.91% in 5 Jahren berechnet das SMB</t>
  </si>
  <si>
    <t>CHF pro QALY</t>
  </si>
  <si>
    <t>10 Jahre Behandlung</t>
  </si>
  <si>
    <t>Für ein SCORE Risiko von 1.82% in 10 Jahren berechnet das SMB</t>
  </si>
  <si>
    <t>Es hat mit einer Verdopplung der QALY gerechnet</t>
  </si>
  <si>
    <t>Es muss korrekterweise mit einer Vervierfachung der QALY rechnen.</t>
  </si>
  <si>
    <t>Aus dem Statinbericht des SMB 2014</t>
  </si>
  <si>
    <t>FOLGE des FEHLERS</t>
  </si>
  <si>
    <t>Der Irrtum des SMB</t>
  </si>
  <si>
    <t>Die Korrektur des Irrtums</t>
  </si>
  <si>
    <t>Warum das wichtig ist</t>
  </si>
  <si>
    <t>Der Fehler des SMB hat massive Konsequenzen für die Volksgesundheit</t>
  </si>
  <si>
    <t xml:space="preserve">70'000 Ereignisse zusätzlich wegen fehlerhafter Empfehlung des SMB, erst ab einem SCORE Risiko von 7.5% zu behandeln. </t>
  </si>
  <si>
    <t>Was können Sie tun?</t>
  </si>
  <si>
    <t>Unterschreiben Sie unsere Petition an die Gesundheitsbehörde des Kantons Zürich.</t>
  </si>
  <si>
    <t>Was wollen wir erreichen?</t>
  </si>
  <si>
    <t xml:space="preserve">Das SMB muss den Statinbericht zurückziehen und sich bei der Schweizerischen Bevölkerung für die Irreführung entschuldigen. </t>
  </si>
  <si>
    <t>A</t>
  </si>
  <si>
    <t>B</t>
  </si>
  <si>
    <t>D</t>
  </si>
  <si>
    <t xml:space="preserve">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</si>
</sst>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164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2" fontId="0" fillId="2" borderId="0" xfId="0" applyNumberFormat="1" applyFill="1" applyAlignment="1">
      <alignment vertical="top"/>
    </xf>
    <xf numFmtId="164" fontId="0" fillId="2" borderId="0" xfId="0" applyNumberFormat="1" applyFill="1" applyAlignment="1">
      <alignment vertical="top"/>
    </xf>
    <xf numFmtId="10" fontId="0" fillId="2" borderId="0" xfId="1" applyNumberFormat="1" applyFont="1" applyFill="1" applyAlignment="1">
      <alignment vertical="top"/>
    </xf>
    <xf numFmtId="3" fontId="0" fillId="2" borderId="0" xfId="0" applyNumberForma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45486</xdr:colOff>
      <xdr:row>2</xdr:row>
      <xdr:rowOff>149224</xdr:rowOff>
    </xdr:from>
    <xdr:to>
      <xdr:col>18</xdr:col>
      <xdr:colOff>85643</xdr:colOff>
      <xdr:row>31</xdr:row>
      <xdr:rowOff>92075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288C62-A973-488A-8CF9-A23E79AD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9836" y="631824"/>
          <a:ext cx="5640857" cy="5283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53E8-08A6-4B9D-B9EF-A1A08D8BE7D9}">
  <dimension ref="B1:L73"/>
  <sheetViews>
    <sheetView tabSelected="1" workbookViewId="0">
      <pane ySplit="5220" topLeftCell="A1048573"/>
      <selection activeCell="A10" sqref="A10"/>
      <selection pane="bottomLeft" activeCell="J49" sqref="J49:J1048576"/>
    </sheetView>
  </sheetViews>
  <sheetFormatPr baseColWidth="10" defaultColWidth="11.453125" defaultRowHeight="14.5" x14ac:dyDescent="0.35"/>
  <cols>
    <col min="1" max="1" width="11.453125" style="1"/>
    <col min="2" max="2" width="23" style="1" bestFit="1" customWidth="1"/>
    <col min="3" max="4" width="11.453125" style="1"/>
    <col min="5" max="5" width="21.54296875" style="1" customWidth="1"/>
    <col min="6" max="6" width="11.453125" style="1"/>
    <col min="7" max="7" width="13.36328125" style="1" customWidth="1"/>
    <col min="8" max="9" width="11.453125" style="1"/>
    <col min="10" max="10" width="11.453125" style="12"/>
    <col min="11" max="16384" width="11.453125" style="1"/>
  </cols>
  <sheetData>
    <row r="1" spans="2:12" x14ac:dyDescent="0.35">
      <c r="J1" s="1"/>
    </row>
    <row r="2" spans="2:12" ht="23.5" x14ac:dyDescent="0.35">
      <c r="C2" s="4" t="s">
        <v>50</v>
      </c>
      <c r="J2" s="1"/>
      <c r="L2" s="1" t="s">
        <v>72</v>
      </c>
    </row>
    <row r="3" spans="2:12" x14ac:dyDescent="0.35">
      <c r="J3" s="1"/>
    </row>
    <row r="4" spans="2:12" x14ac:dyDescent="0.35">
      <c r="B4" s="23" t="b">
        <v>0</v>
      </c>
      <c r="C4" s="1" t="s">
        <v>51</v>
      </c>
      <c r="I4" s="1" t="s">
        <v>74</v>
      </c>
      <c r="J4" s="1"/>
    </row>
    <row r="5" spans="2:12" x14ac:dyDescent="0.35">
      <c r="B5" s="23" t="s">
        <v>52</v>
      </c>
      <c r="C5" s="1" t="s">
        <v>53</v>
      </c>
      <c r="I5" s="1" t="s">
        <v>75</v>
      </c>
      <c r="J5" s="1"/>
    </row>
    <row r="6" spans="2:12" x14ac:dyDescent="0.35">
      <c r="B6" s="23" t="s">
        <v>73</v>
      </c>
      <c r="C6" s="1" t="s">
        <v>54</v>
      </c>
      <c r="J6" s="1"/>
    </row>
    <row r="7" spans="2:12" x14ac:dyDescent="0.35">
      <c r="J7" s="1"/>
    </row>
    <row r="8" spans="2:12" x14ac:dyDescent="0.35">
      <c r="C8" s="1" t="s">
        <v>0</v>
      </c>
      <c r="D8" s="1" t="s">
        <v>1</v>
      </c>
      <c r="J8" s="1"/>
    </row>
    <row r="9" spans="2:12" x14ac:dyDescent="0.35">
      <c r="C9" s="1" t="s">
        <v>2</v>
      </c>
      <c r="D9" s="1" t="s">
        <v>3</v>
      </c>
      <c r="J9" s="1"/>
    </row>
    <row r="10" spans="2:12" x14ac:dyDescent="0.35">
      <c r="C10" s="1" t="s">
        <v>4</v>
      </c>
      <c r="D10" s="1" t="s">
        <v>5</v>
      </c>
      <c r="J10" s="1"/>
    </row>
    <row r="11" spans="2:12" x14ac:dyDescent="0.35">
      <c r="J11" s="1"/>
    </row>
    <row r="12" spans="2:12" x14ac:dyDescent="0.35">
      <c r="C12" s="1" t="s">
        <v>6</v>
      </c>
      <c r="E12" s="1" t="s">
        <v>8</v>
      </c>
      <c r="F12" s="1" t="s">
        <v>10</v>
      </c>
      <c r="J12" s="1"/>
    </row>
    <row r="13" spans="2:12" x14ac:dyDescent="0.35">
      <c r="C13" s="1" t="s">
        <v>7</v>
      </c>
      <c r="F13" s="1" t="s">
        <v>9</v>
      </c>
      <c r="G13" s="1" t="s">
        <v>11</v>
      </c>
      <c r="J13" s="1"/>
    </row>
    <row r="14" spans="2:12" x14ac:dyDescent="0.35">
      <c r="C14" s="1" t="s">
        <v>13</v>
      </c>
      <c r="F14" s="1" t="s">
        <v>19</v>
      </c>
      <c r="J14" s="1"/>
    </row>
    <row r="15" spans="2:12" x14ac:dyDescent="0.35">
      <c r="C15" s="1" t="s">
        <v>20</v>
      </c>
      <c r="F15" s="1" t="s">
        <v>21</v>
      </c>
      <c r="J15" s="1"/>
    </row>
    <row r="16" spans="2:12" x14ac:dyDescent="0.35">
      <c r="C16" s="1" t="s">
        <v>17</v>
      </c>
      <c r="F16" s="1" t="s">
        <v>22</v>
      </c>
      <c r="J16" s="1"/>
    </row>
    <row r="17" spans="2:7" s="1" customFormat="1" x14ac:dyDescent="0.35"/>
    <row r="18" spans="2:7" s="1" customFormat="1" x14ac:dyDescent="0.35"/>
    <row r="19" spans="2:7" s="1" customFormat="1" x14ac:dyDescent="0.35">
      <c r="C19" s="1" t="s">
        <v>12</v>
      </c>
    </row>
    <row r="20" spans="2:7" s="1" customFormat="1" x14ac:dyDescent="0.35">
      <c r="C20" s="1" t="s">
        <v>28</v>
      </c>
    </row>
    <row r="21" spans="2:7" s="1" customFormat="1" x14ac:dyDescent="0.35"/>
    <row r="22" spans="2:7" s="1" customFormat="1" x14ac:dyDescent="0.35">
      <c r="D22" s="2" t="s">
        <v>13</v>
      </c>
      <c r="E22" s="2" t="s">
        <v>14</v>
      </c>
      <c r="F22" s="1" t="s">
        <v>24</v>
      </c>
    </row>
    <row r="23" spans="2:7" s="1" customFormat="1" x14ac:dyDescent="0.35">
      <c r="C23" s="1" t="s">
        <v>15</v>
      </c>
      <c r="D23" s="2">
        <v>2</v>
      </c>
      <c r="E23" s="2">
        <v>9</v>
      </c>
      <c r="F23" s="1">
        <f>SUM(D23:E23)</f>
        <v>11</v>
      </c>
    </row>
    <row r="24" spans="2:7" s="1" customFormat="1" x14ac:dyDescent="0.35">
      <c r="C24" s="1" t="s">
        <v>16</v>
      </c>
      <c r="D24" s="2">
        <v>4</v>
      </c>
      <c r="E24" s="2">
        <v>18</v>
      </c>
      <c r="F24" s="1">
        <f>SUM(D24:E24)</f>
        <v>22</v>
      </c>
      <c r="G24" s="1" t="s">
        <v>25</v>
      </c>
    </row>
    <row r="25" spans="2:7" s="1" customFormat="1" x14ac:dyDescent="0.35">
      <c r="C25" s="1" t="s">
        <v>17</v>
      </c>
      <c r="D25" s="2">
        <v>1</v>
      </c>
      <c r="E25" s="2">
        <v>0.2</v>
      </c>
    </row>
    <row r="26" spans="2:7" s="1" customFormat="1" x14ac:dyDescent="0.35"/>
    <row r="27" spans="2:7" s="1" customFormat="1" x14ac:dyDescent="0.35">
      <c r="C27" s="3" t="s">
        <v>18</v>
      </c>
      <c r="D27" s="3"/>
      <c r="E27" s="3"/>
    </row>
    <row r="28" spans="2:7" s="1" customFormat="1" x14ac:dyDescent="0.35">
      <c r="C28" s="3" t="s">
        <v>23</v>
      </c>
      <c r="D28" s="3"/>
      <c r="E28" s="3"/>
    </row>
    <row r="29" spans="2:7" s="1" customFormat="1" x14ac:dyDescent="0.35"/>
    <row r="30" spans="2:7" s="1" customFormat="1" x14ac:dyDescent="0.35">
      <c r="B30" s="1">
        <v>5</v>
      </c>
      <c r="C30" s="1" t="s">
        <v>26</v>
      </c>
      <c r="D30" s="1">
        <f>(D23*(B30/2)*D25)+(E23*(B30/2)*E25)</f>
        <v>9.5</v>
      </c>
      <c r="E30" s="1" t="s">
        <v>8</v>
      </c>
    </row>
    <row r="31" spans="2:7" s="1" customFormat="1" x14ac:dyDescent="0.35">
      <c r="B31" s="1">
        <v>10</v>
      </c>
      <c r="C31" s="1" t="s">
        <v>26</v>
      </c>
      <c r="D31" s="1">
        <f>(D24*(B31/2)*D25)+(E24*(B31/2)*E25)</f>
        <v>38</v>
      </c>
      <c r="G31" s="1" t="s">
        <v>27</v>
      </c>
    </row>
    <row r="32" spans="2:7" s="1" customFormat="1" x14ac:dyDescent="0.35">
      <c r="G32" s="1" t="s">
        <v>8</v>
      </c>
    </row>
    <row r="33" spans="2:11" x14ac:dyDescent="0.35">
      <c r="B33" s="1" t="s">
        <v>57</v>
      </c>
      <c r="C33" s="1" t="s">
        <v>56</v>
      </c>
      <c r="J33" s="1"/>
    </row>
    <row r="34" spans="2:11" x14ac:dyDescent="0.35">
      <c r="C34" s="1" t="s">
        <v>59</v>
      </c>
      <c r="H34" s="19">
        <f>11/0.22</f>
        <v>50</v>
      </c>
      <c r="J34" s="1" t="s">
        <v>58</v>
      </c>
    </row>
    <row r="35" spans="2:11" x14ac:dyDescent="0.35">
      <c r="C35" s="1" t="s">
        <v>61</v>
      </c>
      <c r="H35" s="20">
        <f>2/0.22</f>
        <v>9.0909090909090917</v>
      </c>
      <c r="J35" s="1"/>
    </row>
    <row r="36" spans="2:11" x14ac:dyDescent="0.35">
      <c r="C36" s="1" t="s">
        <v>60</v>
      </c>
      <c r="H36" s="21">
        <f>H35/1000</f>
        <v>9.0909090909090922E-3</v>
      </c>
      <c r="I36" s="1" t="s">
        <v>65</v>
      </c>
      <c r="J36" s="1"/>
    </row>
    <row r="37" spans="2:11" x14ac:dyDescent="0.35">
      <c r="C37" s="1" t="s">
        <v>66</v>
      </c>
      <c r="H37" s="22">
        <f>F62</f>
        <v>210279.19448972083</v>
      </c>
      <c r="I37" s="1" t="s">
        <v>67</v>
      </c>
      <c r="J37" s="1"/>
    </row>
    <row r="38" spans="2:11" x14ac:dyDescent="0.35">
      <c r="B38" s="1" t="s">
        <v>68</v>
      </c>
      <c r="C38" s="1" t="s">
        <v>69</v>
      </c>
      <c r="H38" s="22">
        <f>I62</f>
        <v>191331.82606866822</v>
      </c>
      <c r="I38" s="1" t="s">
        <v>67</v>
      </c>
      <c r="J38" s="1"/>
      <c r="K38" s="1" t="s">
        <v>70</v>
      </c>
    </row>
    <row r="39" spans="2:11" x14ac:dyDescent="0.35">
      <c r="C39" s="1" t="s">
        <v>69</v>
      </c>
      <c r="H39" s="22">
        <f>G62</f>
        <v>95665.913034334109</v>
      </c>
      <c r="I39" s="1" t="s">
        <v>67</v>
      </c>
      <c r="J39" s="1"/>
      <c r="K39" s="1" t="s">
        <v>71</v>
      </c>
    </row>
    <row r="40" spans="2:11" x14ac:dyDescent="0.35">
      <c r="J40" s="1"/>
    </row>
    <row r="41" spans="2:11" x14ac:dyDescent="0.35">
      <c r="B41" s="1" t="s">
        <v>76</v>
      </c>
      <c r="C41" s="1" t="s">
        <v>77</v>
      </c>
      <c r="J41" s="1"/>
    </row>
    <row r="42" spans="2:11" x14ac:dyDescent="0.3">
      <c r="C42" s="1" t="s">
        <v>78</v>
      </c>
      <c r="J42" s="1"/>
      <c r="K42" s="13"/>
    </row>
    <row r="43" spans="2:11" x14ac:dyDescent="0.35">
      <c r="J43" s="1"/>
      <c r="K43" s="5"/>
    </row>
    <row r="44" spans="2:11" x14ac:dyDescent="0.35">
      <c r="B44" s="1" t="s">
        <v>79</v>
      </c>
      <c r="C44" s="1" t="s">
        <v>80</v>
      </c>
      <c r="J44" s="1"/>
      <c r="K44" s="5"/>
    </row>
    <row r="45" spans="2:11" x14ac:dyDescent="0.35">
      <c r="J45" s="1"/>
      <c r="K45" s="6"/>
    </row>
    <row r="46" spans="2:11" x14ac:dyDescent="0.35">
      <c r="B46" s="1" t="s">
        <v>81</v>
      </c>
      <c r="C46" s="1" t="s">
        <v>82</v>
      </c>
      <c r="J46" s="1"/>
      <c r="K46" s="6"/>
    </row>
    <row r="47" spans="2:11" x14ac:dyDescent="0.35">
      <c r="J47" s="1"/>
      <c r="K47" s="6"/>
    </row>
    <row r="48" spans="2:11" x14ac:dyDescent="0.35">
      <c r="J48" s="1"/>
      <c r="K48" s="6"/>
    </row>
    <row r="49" spans="3:11" x14ac:dyDescent="0.3">
      <c r="C49" s="15" t="s">
        <v>55</v>
      </c>
      <c r="D49" s="12"/>
      <c r="E49" s="12"/>
      <c r="F49" s="24" t="s">
        <v>83</v>
      </c>
      <c r="G49" s="24" t="s">
        <v>84</v>
      </c>
      <c r="H49" s="24" t="s">
        <v>86</v>
      </c>
      <c r="I49" s="24" t="s">
        <v>85</v>
      </c>
      <c r="J49" s="13"/>
      <c r="K49" s="7"/>
    </row>
    <row r="50" spans="3:11" x14ac:dyDescent="0.35">
      <c r="C50" s="16" t="s">
        <v>42</v>
      </c>
      <c r="D50" s="12"/>
      <c r="E50" s="12"/>
      <c r="F50" s="25">
        <v>1</v>
      </c>
      <c r="G50" s="25">
        <v>1</v>
      </c>
      <c r="H50" s="25">
        <v>1</v>
      </c>
      <c r="I50" s="25">
        <v>1</v>
      </c>
      <c r="J50" s="5"/>
      <c r="K50" s="5"/>
    </row>
    <row r="51" spans="3:11" x14ac:dyDescent="0.35">
      <c r="C51" s="16" t="s">
        <v>43</v>
      </c>
      <c r="D51" s="12"/>
      <c r="E51" s="12"/>
      <c r="F51" s="25">
        <v>4.5</v>
      </c>
      <c r="G51" s="25">
        <v>4.5</v>
      </c>
      <c r="H51" s="25">
        <v>4.5</v>
      </c>
      <c r="I51" s="25">
        <v>4.5</v>
      </c>
      <c r="J51" s="5"/>
      <c r="K51" s="6"/>
    </row>
    <row r="52" spans="3:11" x14ac:dyDescent="0.35">
      <c r="C52" s="16" t="s">
        <v>44</v>
      </c>
      <c r="D52" s="12"/>
      <c r="E52" s="12"/>
      <c r="F52" s="26">
        <v>8500</v>
      </c>
      <c r="G52" s="26">
        <v>8500</v>
      </c>
      <c r="H52" s="26">
        <v>8500</v>
      </c>
      <c r="I52" s="26">
        <v>8500</v>
      </c>
      <c r="J52" s="6"/>
      <c r="K52" s="6"/>
    </row>
    <row r="53" spans="3:11" x14ac:dyDescent="0.35">
      <c r="C53" s="16" t="s">
        <v>45</v>
      </c>
      <c r="D53" s="12"/>
      <c r="E53" s="12"/>
      <c r="F53" s="26">
        <v>25000</v>
      </c>
      <c r="G53" s="26">
        <v>25000</v>
      </c>
      <c r="H53" s="26">
        <v>25000</v>
      </c>
      <c r="I53" s="26">
        <v>25000</v>
      </c>
      <c r="J53" s="6"/>
      <c r="K53" s="6"/>
    </row>
    <row r="54" spans="3:11" x14ac:dyDescent="0.35">
      <c r="C54" s="16" t="s">
        <v>46</v>
      </c>
      <c r="D54" s="12"/>
      <c r="E54" s="12"/>
      <c r="F54" s="26">
        <v>8000</v>
      </c>
      <c r="G54" s="26">
        <v>8000</v>
      </c>
      <c r="H54" s="26">
        <v>8000</v>
      </c>
      <c r="I54" s="26">
        <v>8000</v>
      </c>
      <c r="J54" s="6"/>
      <c r="K54" s="6"/>
    </row>
    <row r="55" spans="3:11" x14ac:dyDescent="0.35">
      <c r="C55" s="16" t="s">
        <v>29</v>
      </c>
      <c r="D55" s="12"/>
      <c r="E55" s="12"/>
      <c r="F55" s="26">
        <v>470</v>
      </c>
      <c r="G55" s="26">
        <v>470</v>
      </c>
      <c r="H55" s="26">
        <v>470</v>
      </c>
      <c r="I55" s="26">
        <v>470</v>
      </c>
      <c r="J55" s="6"/>
      <c r="K55" s="8"/>
    </row>
    <row r="56" spans="3:11" x14ac:dyDescent="0.3">
      <c r="C56" s="15" t="s">
        <v>30</v>
      </c>
      <c r="D56" s="12"/>
      <c r="E56" s="12"/>
      <c r="F56" s="27">
        <v>5</v>
      </c>
      <c r="G56" s="27">
        <v>10</v>
      </c>
      <c r="H56" s="27">
        <v>10</v>
      </c>
      <c r="I56" s="27">
        <v>10</v>
      </c>
      <c r="J56" s="7"/>
      <c r="K56" s="9"/>
    </row>
    <row r="57" spans="3:11" x14ac:dyDescent="0.35">
      <c r="C57" s="17" t="s">
        <v>31</v>
      </c>
      <c r="D57" s="12"/>
      <c r="E57" s="12"/>
      <c r="F57" s="25">
        <f>(F68*(F56/2)*1)+(F69*(F56/2)*0.2)</f>
        <v>9.5094999999999992</v>
      </c>
      <c r="G57" s="25">
        <f>(G68*(G56/2)*1)+(G69*(G56/2)*0.2)</f>
        <v>38.037999999999997</v>
      </c>
      <c r="H57" s="25">
        <f t="shared" ref="H57" si="0">(H68*(H56/2)*1)+(H69*(H56/2)*0.2)</f>
        <v>19.018999999999998</v>
      </c>
      <c r="I57" s="25">
        <f>((I68*(I56/2)*1)+(I69*(I56/2)*0.2))/2</f>
        <v>19.018999999999998</v>
      </c>
      <c r="J57" s="5"/>
      <c r="K57" s="10"/>
    </row>
    <row r="58" spans="3:11" x14ac:dyDescent="0.35">
      <c r="C58" s="17" t="s">
        <v>32</v>
      </c>
      <c r="D58" s="12"/>
      <c r="E58" s="12"/>
      <c r="F58" s="26">
        <f>F68*8500+F69*(((((F56/2)-1))*8000)+25000)</f>
        <v>350349.99999999994</v>
      </c>
      <c r="G58" s="26">
        <f>G68*8500+G69*(((((G56/2)-1))*8000)+25000)</f>
        <v>1061059.9999999998</v>
      </c>
      <c r="H58" s="26">
        <f t="shared" ref="H58:I58" si="1">H68*8500+H69*(((((H56/2)-1))*8000)+25000)</f>
        <v>530529.99999999988</v>
      </c>
      <c r="I58" s="26">
        <f t="shared" si="1"/>
        <v>1061059.9999999998</v>
      </c>
      <c r="J58" s="6"/>
      <c r="K58" s="11"/>
    </row>
    <row r="59" spans="3:11" x14ac:dyDescent="0.35">
      <c r="C59" s="17" t="s">
        <v>33</v>
      </c>
      <c r="D59" s="12"/>
      <c r="E59" s="12"/>
      <c r="F59" s="26">
        <f>F58/1000</f>
        <v>350.34999999999997</v>
      </c>
      <c r="G59" s="26">
        <f>G58/1000</f>
        <v>1061.0599999999997</v>
      </c>
      <c r="H59" s="26">
        <f t="shared" ref="H59:I59" si="2">H58/1000</f>
        <v>530.52999999999986</v>
      </c>
      <c r="I59" s="26">
        <f t="shared" si="2"/>
        <v>1061.0599999999997</v>
      </c>
      <c r="J59" s="6"/>
      <c r="K59" s="11"/>
    </row>
    <row r="60" spans="3:11" x14ac:dyDescent="0.35">
      <c r="C60" s="16" t="s">
        <v>34</v>
      </c>
      <c r="D60" s="12"/>
      <c r="E60" s="12"/>
      <c r="F60" s="26">
        <f>F55*F56</f>
        <v>2350</v>
      </c>
      <c r="G60" s="26">
        <f>G55*G56</f>
        <v>4700</v>
      </c>
      <c r="H60" s="26">
        <f t="shared" ref="H60:I60" si="3">H55*H56</f>
        <v>4700</v>
      </c>
      <c r="I60" s="26">
        <f t="shared" si="3"/>
        <v>4700</v>
      </c>
      <c r="J60" s="6"/>
      <c r="K60" s="11"/>
    </row>
    <row r="61" spans="3:11" x14ac:dyDescent="0.35">
      <c r="C61" s="16" t="s">
        <v>35</v>
      </c>
      <c r="D61" s="12"/>
      <c r="E61" s="12"/>
      <c r="F61" s="26">
        <f>F60-F59</f>
        <v>1999.65</v>
      </c>
      <c r="G61" s="26">
        <f>G60-G59</f>
        <v>3638.9400000000005</v>
      </c>
      <c r="H61" s="26">
        <f t="shared" ref="H61:I61" si="4">H60-H59</f>
        <v>4169.47</v>
      </c>
      <c r="I61" s="26">
        <f t="shared" si="4"/>
        <v>3638.9400000000005</v>
      </c>
      <c r="J61" s="6"/>
      <c r="K61" s="14"/>
    </row>
    <row r="62" spans="3:11" x14ac:dyDescent="0.35">
      <c r="C62" s="17" t="s">
        <v>36</v>
      </c>
      <c r="D62" s="12"/>
      <c r="E62" s="12"/>
      <c r="F62" s="28">
        <f>F61/(F57/1000)</f>
        <v>210279.19448972083</v>
      </c>
      <c r="G62" s="28">
        <f>G61/(G57/1000)</f>
        <v>95665.913034334109</v>
      </c>
      <c r="H62" s="28">
        <f t="shared" ref="H62:I62" si="5">H61/(H57/1000)</f>
        <v>219226.56291077347</v>
      </c>
      <c r="I62" s="28">
        <f t="shared" si="5"/>
        <v>191331.82606866822</v>
      </c>
      <c r="J62" s="8"/>
      <c r="K62" s="11"/>
    </row>
    <row r="63" spans="3:11" x14ac:dyDescent="0.35">
      <c r="C63" s="15" t="s">
        <v>47</v>
      </c>
      <c r="D63" s="12"/>
      <c r="E63" s="12"/>
      <c r="F63" s="29">
        <v>0.91</v>
      </c>
      <c r="G63" s="29">
        <v>1.82</v>
      </c>
      <c r="H63" s="29">
        <v>0.91</v>
      </c>
      <c r="I63" s="29">
        <v>1.82</v>
      </c>
      <c r="J63" s="9"/>
      <c r="K63" s="11"/>
    </row>
    <row r="64" spans="3:11" x14ac:dyDescent="0.35">
      <c r="C64" s="16" t="s">
        <v>37</v>
      </c>
      <c r="D64" s="12"/>
      <c r="E64" s="12"/>
      <c r="F64" s="30">
        <v>1000</v>
      </c>
      <c r="G64" s="30">
        <v>1000</v>
      </c>
      <c r="H64" s="30">
        <v>1000</v>
      </c>
      <c r="I64" s="30">
        <v>1000</v>
      </c>
      <c r="J64" s="10"/>
      <c r="K64" s="11"/>
    </row>
    <row r="65" spans="3:11" x14ac:dyDescent="0.35">
      <c r="C65" s="16" t="s">
        <v>48</v>
      </c>
      <c r="D65" s="12"/>
      <c r="E65" s="12"/>
      <c r="F65" s="31">
        <f>F63/100*F64</f>
        <v>9.1</v>
      </c>
      <c r="G65" s="31">
        <f>G63/100*G64</f>
        <v>18.2</v>
      </c>
      <c r="H65" s="31">
        <f t="shared" ref="H65:I65" si="6">H63/100*H64</f>
        <v>9.1</v>
      </c>
      <c r="I65" s="31">
        <f t="shared" si="6"/>
        <v>18.2</v>
      </c>
      <c r="J65" s="11"/>
      <c r="K65" s="11"/>
    </row>
    <row r="66" spans="3:11" x14ac:dyDescent="0.35">
      <c r="C66" s="16" t="s">
        <v>49</v>
      </c>
      <c r="D66" s="12"/>
      <c r="E66" s="12"/>
      <c r="F66" s="31">
        <f>(F65/2)*9</f>
        <v>40.949999999999996</v>
      </c>
      <c r="G66" s="31">
        <f>(G65/2)*9</f>
        <v>81.899999999999991</v>
      </c>
      <c r="H66" s="31">
        <f t="shared" ref="H66:I66" si="7">(H65/2)*9</f>
        <v>40.949999999999996</v>
      </c>
      <c r="I66" s="31">
        <f t="shared" si="7"/>
        <v>81.899999999999991</v>
      </c>
      <c r="J66" s="11"/>
      <c r="K66" s="14"/>
    </row>
    <row r="67" spans="3:11" x14ac:dyDescent="0.35">
      <c r="C67" s="17" t="s">
        <v>38</v>
      </c>
      <c r="D67" s="12"/>
      <c r="E67" s="12"/>
      <c r="F67" s="31">
        <f>F65+F66</f>
        <v>50.05</v>
      </c>
      <c r="G67" s="31">
        <f>G65+G66</f>
        <v>100.1</v>
      </c>
      <c r="H67" s="31">
        <f t="shared" ref="H67:I67" si="8">H65+H66</f>
        <v>50.05</v>
      </c>
      <c r="I67" s="31">
        <f t="shared" si="8"/>
        <v>100.1</v>
      </c>
      <c r="J67" s="11"/>
    </row>
    <row r="68" spans="3:11" x14ac:dyDescent="0.35">
      <c r="C68" s="18" t="s">
        <v>62</v>
      </c>
      <c r="D68" s="12"/>
      <c r="E68" s="12"/>
      <c r="F68" s="32">
        <f>F65*0.22</f>
        <v>2.0019999999999998</v>
      </c>
      <c r="G68" s="32">
        <f>G65*0.22</f>
        <v>4.0039999999999996</v>
      </c>
      <c r="H68" s="32">
        <f t="shared" ref="H68:I68" si="9">H65*0.22</f>
        <v>2.0019999999999998</v>
      </c>
      <c r="I68" s="32">
        <f t="shared" si="9"/>
        <v>4.0039999999999996</v>
      </c>
      <c r="J68" s="14"/>
    </row>
    <row r="69" spans="3:11" x14ac:dyDescent="0.35">
      <c r="C69" s="16" t="s">
        <v>63</v>
      </c>
      <c r="D69" s="12"/>
      <c r="E69" s="12"/>
      <c r="F69" s="31">
        <f>F66*0.22</f>
        <v>9.0089999999999986</v>
      </c>
      <c r="G69" s="31">
        <f>G66*0.22</f>
        <v>18.017999999999997</v>
      </c>
      <c r="H69" s="31">
        <f t="shared" ref="H69:I69" si="10">H66*0.22</f>
        <v>9.0089999999999986</v>
      </c>
      <c r="I69" s="31">
        <f t="shared" si="10"/>
        <v>18.017999999999997</v>
      </c>
      <c r="J69" s="11"/>
    </row>
    <row r="70" spans="3:11" x14ac:dyDescent="0.35">
      <c r="C70" s="17" t="s">
        <v>64</v>
      </c>
      <c r="D70" s="12"/>
      <c r="E70" s="12"/>
      <c r="F70" s="31">
        <f>F68+F69</f>
        <v>11.010999999999999</v>
      </c>
      <c r="G70" s="31">
        <f>G68+G69</f>
        <v>22.021999999999998</v>
      </c>
      <c r="H70" s="31">
        <f t="shared" ref="H70:I70" si="11">H68+H69</f>
        <v>11.010999999999999</v>
      </c>
      <c r="I70" s="31">
        <f t="shared" si="11"/>
        <v>22.021999999999998</v>
      </c>
      <c r="J70" s="11"/>
    </row>
    <row r="71" spans="3:11" x14ac:dyDescent="0.35">
      <c r="C71" s="16" t="s">
        <v>39</v>
      </c>
      <c r="D71" s="12"/>
      <c r="E71" s="12"/>
      <c r="F71" s="31">
        <f>(F65+F66)/F64*100</f>
        <v>5.0049999999999999</v>
      </c>
      <c r="G71" s="31">
        <f>(G65+G66)/G64*100</f>
        <v>10.01</v>
      </c>
      <c r="H71" s="31">
        <f t="shared" ref="H71:I71" si="12">(H65+H66)/H64*100</f>
        <v>5.0049999999999999</v>
      </c>
      <c r="I71" s="31">
        <f t="shared" si="12"/>
        <v>10.01</v>
      </c>
      <c r="J71" s="11"/>
    </row>
    <row r="72" spans="3:11" x14ac:dyDescent="0.35">
      <c r="C72" s="16" t="s">
        <v>40</v>
      </c>
      <c r="D72" s="12"/>
      <c r="E72" s="12"/>
      <c r="F72" s="31">
        <f>(F68+F69)/F64*100</f>
        <v>1.1011</v>
      </c>
      <c r="G72" s="31">
        <f>(G68+G69)/G64*100</f>
        <v>2.2021999999999999</v>
      </c>
      <c r="H72" s="31">
        <f t="shared" ref="H72:I72" si="13">(H68+H69)/H64*100</f>
        <v>1.1011</v>
      </c>
      <c r="I72" s="31">
        <f t="shared" si="13"/>
        <v>2.2021999999999999</v>
      </c>
      <c r="J72" s="11"/>
    </row>
    <row r="73" spans="3:11" x14ac:dyDescent="0.35">
      <c r="C73" s="18" t="s">
        <v>41</v>
      </c>
      <c r="D73" s="12"/>
      <c r="E73" s="12"/>
      <c r="F73" s="33">
        <f>100/F72</f>
        <v>90.818272636454452</v>
      </c>
      <c r="G73" s="33">
        <f>100/G72</f>
        <v>45.409136318227226</v>
      </c>
      <c r="H73" s="33">
        <f t="shared" ref="H73:I73" si="14">100/H72</f>
        <v>90.818272636454452</v>
      </c>
      <c r="I73" s="33">
        <f t="shared" si="14"/>
        <v>45.409136318227226</v>
      </c>
      <c r="J73" s="14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Romanens Michel</dc:creator>
  <cp:lastModifiedBy>Romanens Michel</cp:lastModifiedBy>
  <dcterms:created xsi:type="dcterms:W3CDTF">2019-05-17T15:09:50Z</dcterms:created>
  <dcterms:modified xsi:type="dcterms:W3CDTF">2019-05-18T12:04:32Z</dcterms:modified>
</cp:coreProperties>
</file>